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mc:AlternateContent xmlns:mc="http://schemas.openxmlformats.org/markup-compatibility/2006">
    <mc:Choice Requires="x15">
      <x15ac:absPath xmlns:x15ac="http://schemas.microsoft.com/office/spreadsheetml/2010/11/ac" url="https://i4ce-my.sharepoint.com/personal/lucile_perronnelle_i4ce_org/Documents/Bureau/Doc études billets/"/>
    </mc:Choice>
  </mc:AlternateContent>
  <xr:revisionPtr revIDLastSave="0" documentId="8_{B5ED5EDB-6725-47F0-97FF-8FDE0CC0567A}" xr6:coauthVersionLast="47" xr6:coauthVersionMax="47" xr10:uidLastSave="{00000000-0000-0000-0000-000000000000}"/>
  <bookViews>
    <workbookView xWindow="-110" yWindow="-110" windowWidth="19420" windowHeight="11500" xr2:uid="{F2760524-A938-4601-9C62-C17F9F12A121}"/>
  </bookViews>
  <sheets>
    <sheet name="A LIRE " sheetId="39" r:id="rId1"/>
    <sheet name="Périmètres" sheetId="11" r:id="rId2"/>
    <sheet name="SynthèseDFHIST" sheetId="5" r:id="rId3"/>
    <sheet name="DFHIST+DFPRO" sheetId="33" r:id="rId4"/>
    <sheet name="CT_RENO" sheetId="1" r:id="rId5"/>
    <sheet name="DEP_ENER" sheetId="20" r:id="rId6"/>
    <sheet name="axENER" sheetId="28" r:id="rId7"/>
    <sheet name="axENER2" sheetId="38" r:id="rId8"/>
    <sheet name="TER_NEUF" sheetId="2" r:id="rId9"/>
    <sheet name="VP" sheetId="3" r:id="rId10"/>
    <sheet name="VUL" sheetId="4" r:id="rId11"/>
    <sheet name="MR_FER" sheetId="10" r:id="rId12"/>
    <sheet name="BUSCAR" sheetId="7" r:id="rId13"/>
    <sheet name="ROUTES (v2)" sheetId="34" r:id="rId14"/>
    <sheet name="Ax(V2)" sheetId="36" r:id="rId15"/>
    <sheet name="RESTAUCO" sheetId="12" r:id="rId16"/>
    <sheet name="MAT_INFO" sheetId="21" r:id="rId17"/>
  </sheets>
  <externalReferences>
    <externalReference r:id="rId18"/>
  </externalReferences>
  <definedNames>
    <definedName name="currentYear">#REF!</definedName>
    <definedName name="_xlnm.Print_Area" localSheetId="1">Périmètres!$D$31:$J$74</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098  Page 143_2bd784fc-196b-4c91-bed4-f07cc3379b97" name="Table098  Page 143" connection="Requête - Table098 (Page 143)"/>
          <x15:modelTable id="Table099  Page 144_8878badc-18bb-4362-bb7d-e216c7f631bf" name="Table099  Page 144" connection="Requête - Table099 (Page 144)"/>
          <x15:modelTable id="Table084  Page 119_c17e6549-794b-44c7-ae5c-1b87a675dbd8" name="Table084  Page 119" connection="Requête - Table084 (Page 119)"/>
          <x15:modelTable id="Table085  Page 120_48b4c613-ee12-4386-9fe6-73447c6badc5" name="Table085  Page 120" connection="Requête - Table085 (Page 120)"/>
          <x15:modelTable id="Table086  Page 121_2f7a665c-0263-4a3c-b5ea-9a580c05c277" name="Table086  Page 121" connection="Requête - Table086 (Page 121)"/>
          <x15:modelTable id="Table074  Page 91_0db58ef2-2f39-4e05-8b25-c0996e06f60e" name="Table074  Page 91" connection="Requête - Table074 (Page 91)"/>
          <x15:modelTable id="Table073  Page 91_cf0f0a6e-6809-4a46-aed2-ca6e4f94003e" name="Table073  Page 91" connection="Requête - Table073 (Page 91)"/>
          <x15:modelTable id="Table075  Page 92_2102ffcd-1889-445e-a580-99af121b2af6" name="Table075  Page 92" connection="Requête - Table075 (Page 92)"/>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5" l="1"/>
  <c r="T43" i="5"/>
  <c r="I60" i="5"/>
  <c r="J60" i="5"/>
  <c r="K60" i="5"/>
  <c r="L60" i="5"/>
  <c r="M60" i="5"/>
  <c r="N60" i="5"/>
  <c r="O60" i="5"/>
  <c r="P60" i="5"/>
  <c r="Q60" i="5"/>
  <c r="R60" i="5"/>
  <c r="H60" i="5"/>
  <c r="F60" i="5"/>
  <c r="G60" i="5"/>
  <c r="E60" i="5"/>
  <c r="M168" i="20" l="1"/>
  <c r="N213" i="20"/>
  <c r="Q8" i="33"/>
  <c r="U66" i="12"/>
  <c r="T95" i="7"/>
  <c r="U95" i="7"/>
  <c r="V95" i="7"/>
  <c r="W95" i="7"/>
  <c r="X95" i="7"/>
  <c r="Y95" i="7"/>
  <c r="Z95" i="7"/>
  <c r="AA95" i="7"/>
  <c r="AB95" i="7"/>
  <c r="AC95" i="7"/>
  <c r="AD95" i="7"/>
  <c r="AE95" i="7"/>
  <c r="AF95" i="7"/>
  <c r="AG95" i="7"/>
  <c r="AH95" i="7"/>
  <c r="J94" i="7"/>
  <c r="K94" i="7" s="1"/>
  <c r="L94" i="7" s="1"/>
  <c r="M94" i="7" s="1"/>
  <c r="N94" i="7" s="1"/>
  <c r="O94" i="7" s="1"/>
  <c r="P94" i="7" s="1"/>
  <c r="Q94" i="7" s="1"/>
  <c r="R94" i="7" s="1"/>
  <c r="S94" i="7" s="1"/>
  <c r="T94" i="7" s="1"/>
  <c r="U94" i="7" s="1"/>
  <c r="V94" i="7" s="1"/>
  <c r="W94" i="7" s="1"/>
  <c r="X94" i="7" s="1"/>
  <c r="Y94" i="7" s="1"/>
  <c r="Z94" i="7" s="1"/>
  <c r="AA94" i="7" s="1"/>
  <c r="AB94" i="7" s="1"/>
  <c r="AC94" i="7" s="1"/>
  <c r="AD94" i="7" s="1"/>
  <c r="AE94" i="7" s="1"/>
  <c r="AF94" i="7" s="1"/>
  <c r="AG94" i="7" s="1"/>
  <c r="I94" i="7"/>
  <c r="AH94" i="7"/>
  <c r="H48" i="4"/>
  <c r="H47" i="4"/>
  <c r="H43" i="4"/>
  <c r="H42" i="4"/>
  <c r="H41" i="4"/>
  <c r="D524" i="20"/>
  <c r="T10" i="5"/>
  <c r="V411" i="20"/>
  <c r="V412" i="20"/>
  <c r="AE4" i="33"/>
  <c r="F27" i="5"/>
  <c r="G27" i="5"/>
  <c r="H27" i="5"/>
  <c r="I27" i="5"/>
  <c r="J27" i="5"/>
  <c r="K27" i="5"/>
  <c r="L27" i="5"/>
  <c r="M27" i="5"/>
  <c r="N27" i="5"/>
  <c r="O27" i="5"/>
  <c r="P27" i="5"/>
  <c r="Q27" i="5"/>
  <c r="R27" i="5"/>
  <c r="E27" i="5"/>
  <c r="G465" i="20"/>
  <c r="H465" i="20"/>
  <c r="D510" i="20"/>
  <c r="H75" i="3"/>
  <c r="Q7" i="33" s="1"/>
  <c r="H73" i="3"/>
  <c r="R66" i="12"/>
  <c r="S66" i="12"/>
  <c r="T66" i="12"/>
  <c r="U65" i="12"/>
  <c r="H362" i="28"/>
  <c r="I362" i="28"/>
  <c r="G362" i="28"/>
  <c r="G334" i="28"/>
  <c r="G329" i="28"/>
  <c r="G324" i="28"/>
  <c r="G319" i="28"/>
  <c r="G314" i="28"/>
  <c r="H108" i="38" l="1"/>
  <c r="I108" i="38"/>
  <c r="J108" i="38"/>
  <c r="K108" i="38"/>
  <c r="L108" i="38"/>
  <c r="M108" i="38"/>
  <c r="N108" i="38"/>
  <c r="O108" i="38"/>
  <c r="P108" i="38"/>
  <c r="Q108" i="38"/>
  <c r="R108" i="38"/>
  <c r="S108" i="38"/>
  <c r="T108" i="38"/>
  <c r="G108" i="38"/>
  <c r="H98" i="38"/>
  <c r="I98" i="38"/>
  <c r="J98" i="38"/>
  <c r="K98" i="38"/>
  <c r="L98" i="38"/>
  <c r="M98" i="38"/>
  <c r="N98" i="38"/>
  <c r="O98" i="38"/>
  <c r="P98" i="38"/>
  <c r="Q98" i="38"/>
  <c r="R98" i="38"/>
  <c r="S98" i="38"/>
  <c r="T98" i="38"/>
  <c r="H97" i="38"/>
  <c r="I97" i="38"/>
  <c r="J97" i="38"/>
  <c r="K97" i="38"/>
  <c r="L97" i="38"/>
  <c r="M97" i="38"/>
  <c r="N97" i="38"/>
  <c r="O97" i="38"/>
  <c r="O22" i="38" s="1"/>
  <c r="P97" i="38"/>
  <c r="P22" i="38" s="1"/>
  <c r="Q97" i="38"/>
  <c r="R97" i="38"/>
  <c r="S97" i="38"/>
  <c r="T97" i="38"/>
  <c r="H96" i="38"/>
  <c r="I96" i="38"/>
  <c r="J96" i="38"/>
  <c r="K96" i="38"/>
  <c r="L96" i="38"/>
  <c r="M96" i="38"/>
  <c r="N96" i="38"/>
  <c r="O96" i="38"/>
  <c r="P96" i="38"/>
  <c r="Q96" i="38"/>
  <c r="R96" i="38"/>
  <c r="S96" i="38"/>
  <c r="T96" i="38"/>
  <c r="H95" i="38"/>
  <c r="I95" i="38"/>
  <c r="J95" i="38"/>
  <c r="K95" i="38"/>
  <c r="L95" i="38"/>
  <c r="M95" i="38"/>
  <c r="N95" i="38"/>
  <c r="O95" i="38"/>
  <c r="P95" i="38"/>
  <c r="Q95" i="38"/>
  <c r="R95" i="38"/>
  <c r="S95" i="38"/>
  <c r="T95" i="38"/>
  <c r="H94" i="38"/>
  <c r="I94" i="38"/>
  <c r="J94" i="38"/>
  <c r="K94" i="38"/>
  <c r="L94" i="38"/>
  <c r="M94" i="38"/>
  <c r="N94" i="38"/>
  <c r="O94" i="38"/>
  <c r="P94" i="38"/>
  <c r="Q94" i="38"/>
  <c r="R94" i="38"/>
  <c r="S94" i="38"/>
  <c r="T94" i="38"/>
  <c r="H93" i="38"/>
  <c r="I93" i="38"/>
  <c r="J93" i="38"/>
  <c r="K93" i="38"/>
  <c r="L93" i="38"/>
  <c r="M93" i="38"/>
  <c r="M22" i="38" s="1"/>
  <c r="N93" i="38"/>
  <c r="O93" i="38"/>
  <c r="P93" i="38"/>
  <c r="Q93" i="38"/>
  <c r="R93" i="38"/>
  <c r="S93" i="38"/>
  <c r="T93" i="38"/>
  <c r="T22" i="38" s="1"/>
  <c r="G98" i="38"/>
  <c r="G97" i="38"/>
  <c r="G96" i="38"/>
  <c r="G95" i="38"/>
  <c r="G94" i="38"/>
  <c r="G93" i="38"/>
  <c r="H79" i="38"/>
  <c r="I79" i="38"/>
  <c r="J79" i="38"/>
  <c r="K79" i="38"/>
  <c r="L79" i="38"/>
  <c r="M79" i="38"/>
  <c r="N79" i="38"/>
  <c r="O79" i="38"/>
  <c r="P79" i="38"/>
  <c r="Q79" i="38"/>
  <c r="R79" i="38"/>
  <c r="S79" i="38"/>
  <c r="T79" i="38"/>
  <c r="L78" i="38"/>
  <c r="M78" i="38"/>
  <c r="O78" i="38"/>
  <c r="P78" i="38"/>
  <c r="H77" i="38"/>
  <c r="I77" i="38"/>
  <c r="J77" i="38"/>
  <c r="K77" i="38"/>
  <c r="L77" i="38"/>
  <c r="M77" i="38"/>
  <c r="N77" i="38"/>
  <c r="O77" i="38"/>
  <c r="P77" i="38"/>
  <c r="Q77" i="38"/>
  <c r="R77" i="38"/>
  <c r="S77" i="38"/>
  <c r="T77" i="38"/>
  <c r="H76" i="38"/>
  <c r="I76" i="38"/>
  <c r="J76" i="38"/>
  <c r="K76" i="38"/>
  <c r="L76" i="38"/>
  <c r="M76" i="38"/>
  <c r="N76" i="38"/>
  <c r="O76" i="38"/>
  <c r="P76" i="38"/>
  <c r="Q76" i="38"/>
  <c r="R76" i="38"/>
  <c r="S76" i="38"/>
  <c r="T76" i="38"/>
  <c r="H75" i="38"/>
  <c r="I75" i="38"/>
  <c r="J75" i="38"/>
  <c r="N75" i="38"/>
  <c r="T75" i="38"/>
  <c r="H74" i="38"/>
  <c r="I74" i="38"/>
  <c r="J74" i="38"/>
  <c r="K74" i="38"/>
  <c r="L74" i="38"/>
  <c r="M74" i="38"/>
  <c r="N74" i="38"/>
  <c r="O74" i="38"/>
  <c r="P74" i="38"/>
  <c r="Q74" i="38"/>
  <c r="R74" i="38"/>
  <c r="S74" i="38"/>
  <c r="T74" i="38"/>
  <c r="H73" i="38"/>
  <c r="I73" i="38"/>
  <c r="J73" i="38"/>
  <c r="K73" i="38"/>
  <c r="L73" i="38"/>
  <c r="M73" i="38"/>
  <c r="N73" i="38"/>
  <c r="O73" i="38"/>
  <c r="P73" i="38"/>
  <c r="Q73" i="38"/>
  <c r="R73" i="38"/>
  <c r="S73" i="38"/>
  <c r="T73" i="38"/>
  <c r="K72" i="38"/>
  <c r="Q72" i="38"/>
  <c r="R72" i="38"/>
  <c r="S72" i="38"/>
  <c r="H71" i="38"/>
  <c r="I71" i="38"/>
  <c r="J71" i="38"/>
  <c r="K71" i="38"/>
  <c r="L71" i="38"/>
  <c r="M71" i="38"/>
  <c r="N71" i="38"/>
  <c r="O71" i="38"/>
  <c r="P71" i="38"/>
  <c r="Q71" i="38"/>
  <c r="R71" i="38"/>
  <c r="S71" i="38"/>
  <c r="T71" i="38"/>
  <c r="G79" i="38"/>
  <c r="G78" i="38"/>
  <c r="G77" i="38"/>
  <c r="G76" i="38"/>
  <c r="G74" i="38"/>
  <c r="G73" i="38"/>
  <c r="G72" i="38"/>
  <c r="G71" i="38"/>
  <c r="G54" i="38"/>
  <c r="H54" i="38"/>
  <c r="I54" i="38"/>
  <c r="K54" i="38"/>
  <c r="L54" i="38"/>
  <c r="M54" i="38"/>
  <c r="N54" i="38"/>
  <c r="O54" i="38"/>
  <c r="P54" i="38"/>
  <c r="Q54" i="38"/>
  <c r="R54" i="38"/>
  <c r="S54" i="38"/>
  <c r="T54" i="38"/>
  <c r="J54" i="38"/>
  <c r="G45" i="38"/>
  <c r="G9" i="38" s="1"/>
  <c r="H45" i="38"/>
  <c r="I45" i="38"/>
  <c r="I9" i="38" s="1"/>
  <c r="J45" i="38"/>
  <c r="K45" i="38"/>
  <c r="L45" i="38"/>
  <c r="M45" i="38"/>
  <c r="N45" i="38"/>
  <c r="O45" i="38"/>
  <c r="P45" i="38"/>
  <c r="Q45" i="38"/>
  <c r="Q9" i="38" s="1"/>
  <c r="R45" i="38"/>
  <c r="S45" i="38"/>
  <c r="T45" i="38"/>
  <c r="L22" i="38"/>
  <c r="G34" i="38"/>
  <c r="H34" i="38"/>
  <c r="I34" i="38"/>
  <c r="J34" i="38"/>
  <c r="K34" i="38"/>
  <c r="L34" i="38"/>
  <c r="M34" i="38"/>
  <c r="N34" i="38"/>
  <c r="O34" i="38"/>
  <c r="P34" i="38"/>
  <c r="Q34" i="38"/>
  <c r="R34" i="38"/>
  <c r="S34" i="38"/>
  <c r="T34" i="38"/>
  <c r="H22" i="38"/>
  <c r="G241" i="28"/>
  <c r="T67" i="38"/>
  <c r="T78" i="38" s="1"/>
  <c r="S67" i="38"/>
  <c r="S78" i="38" s="1"/>
  <c r="R67" i="38"/>
  <c r="R78" i="38" s="1"/>
  <c r="Q67" i="38"/>
  <c r="Q78" i="38" s="1"/>
  <c r="P67" i="38"/>
  <c r="O67" i="38"/>
  <c r="N67" i="38"/>
  <c r="N78" i="38" s="1"/>
  <c r="M67" i="38"/>
  <c r="L67" i="38"/>
  <c r="K67" i="38"/>
  <c r="K78" i="38" s="1"/>
  <c r="J67" i="38"/>
  <c r="J78" i="38" s="1"/>
  <c r="I67" i="38"/>
  <c r="I78" i="38" s="1"/>
  <c r="H67" i="38"/>
  <c r="H78" i="38" s="1"/>
  <c r="G67" i="38"/>
  <c r="T64" i="38"/>
  <c r="R75" i="38" s="1"/>
  <c r="S64" i="38"/>
  <c r="S75" i="38" s="1"/>
  <c r="R64" i="38"/>
  <c r="Q64" i="38"/>
  <c r="Q75" i="38" s="1"/>
  <c r="P64" i="38"/>
  <c r="P75" i="38" s="1"/>
  <c r="O64" i="38"/>
  <c r="O75" i="38" s="1"/>
  <c r="N64" i="38"/>
  <c r="M64" i="38"/>
  <c r="M75" i="38" s="1"/>
  <c r="L64" i="38"/>
  <c r="L75" i="38" s="1"/>
  <c r="K64" i="38"/>
  <c r="K75" i="38" s="1"/>
  <c r="J64" i="38"/>
  <c r="I64" i="38"/>
  <c r="H64" i="38"/>
  <c r="G64" i="38"/>
  <c r="G75" i="38" s="1"/>
  <c r="T61" i="38"/>
  <c r="T72" i="38" s="1"/>
  <c r="S61" i="38"/>
  <c r="R61" i="38"/>
  <c r="Q61" i="38"/>
  <c r="P61" i="38"/>
  <c r="P72" i="38" s="1"/>
  <c r="O61" i="38"/>
  <c r="O72" i="38" s="1"/>
  <c r="N61" i="38"/>
  <c r="N72" i="38" s="1"/>
  <c r="M61" i="38"/>
  <c r="M72" i="38" s="1"/>
  <c r="L61" i="38"/>
  <c r="L72" i="38" s="1"/>
  <c r="K61" i="38"/>
  <c r="J61" i="38"/>
  <c r="J72" i="38" s="1"/>
  <c r="I61" i="38"/>
  <c r="I72" i="38" s="1"/>
  <c r="H61" i="38"/>
  <c r="H72" i="38" s="1"/>
  <c r="G61" i="38"/>
  <c r="J79" i="20"/>
  <c r="G336" i="28"/>
  <c r="G331" i="28"/>
  <c r="G326" i="28"/>
  <c r="G321" i="28"/>
  <c r="G316" i="28"/>
  <c r="G335" i="28"/>
  <c r="G330" i="28"/>
  <c r="G325" i="28"/>
  <c r="G320" i="28"/>
  <c r="G315" i="28"/>
  <c r="F54" i="5"/>
  <c r="G54" i="5"/>
  <c r="H54" i="5"/>
  <c r="I54" i="5"/>
  <c r="J54" i="5"/>
  <c r="K54" i="5"/>
  <c r="L54" i="5"/>
  <c r="M54" i="5"/>
  <c r="N54" i="5"/>
  <c r="O54" i="5"/>
  <c r="P54" i="5"/>
  <c r="Q54" i="5"/>
  <c r="R54" i="5"/>
  <c r="E54" i="5"/>
  <c r="Q22" i="38" l="1"/>
  <c r="T9" i="38"/>
  <c r="H9" i="38"/>
  <c r="H115" i="38" s="1"/>
  <c r="S9" i="38"/>
  <c r="S115" i="38" s="1"/>
  <c r="R9" i="38"/>
  <c r="R115" i="38" s="1"/>
  <c r="G22" i="38"/>
  <c r="P9" i="38"/>
  <c r="P115" i="38" s="1"/>
  <c r="N22" i="38"/>
  <c r="N9" i="38"/>
  <c r="N115" i="38" s="1"/>
  <c r="L9" i="38"/>
  <c r="K9" i="38"/>
  <c r="O9" i="38"/>
  <c r="O115" i="38" s="1"/>
  <c r="M9" i="38"/>
  <c r="I22" i="38"/>
  <c r="J9" i="38"/>
  <c r="R22" i="38"/>
  <c r="S22" i="38"/>
  <c r="K22" i="38"/>
  <c r="K115" i="38" s="1"/>
  <c r="T115" i="38"/>
  <c r="G115" i="38"/>
  <c r="J22" i="38"/>
  <c r="L115" i="38"/>
  <c r="Q115" i="38"/>
  <c r="M115" i="38"/>
  <c r="I115" i="38"/>
  <c r="T459" i="20"/>
  <c r="H468" i="20" s="1"/>
  <c r="T458" i="20"/>
  <c r="H467" i="20" s="1"/>
  <c r="T457" i="20"/>
  <c r="H466" i="20" s="1"/>
  <c r="T456" i="20"/>
  <c r="P144" i="28"/>
  <c r="H58" i="28"/>
  <c r="H151" i="28" s="1"/>
  <c r="I58" i="28"/>
  <c r="I158" i="28" s="1"/>
  <c r="J58" i="28"/>
  <c r="J165" i="28" s="1"/>
  <c r="K58" i="28"/>
  <c r="K172" i="28" s="1"/>
  <c r="L58" i="28"/>
  <c r="L172" i="28" s="1"/>
  <c r="M58" i="28"/>
  <c r="M172" i="28" s="1"/>
  <c r="N58" i="28"/>
  <c r="N172" i="28" s="1"/>
  <c r="O58" i="28"/>
  <c r="O172" i="28" s="1"/>
  <c r="P58" i="28"/>
  <c r="P172" i="28" s="1"/>
  <c r="Q58" i="28"/>
  <c r="Q144" i="28" s="1"/>
  <c r="R58" i="28"/>
  <c r="R144" i="28" s="1"/>
  <c r="S58" i="28"/>
  <c r="S144" i="28" s="1"/>
  <c r="T58" i="28"/>
  <c r="T151" i="28" s="1"/>
  <c r="G58" i="28"/>
  <c r="G158" i="28" s="1"/>
  <c r="T171" i="28"/>
  <c r="T164" i="28"/>
  <c r="T157" i="28"/>
  <c r="T143" i="28"/>
  <c r="T150" i="28"/>
  <c r="P165" i="28" l="1"/>
  <c r="T165" i="28"/>
  <c r="H165" i="28"/>
  <c r="S151" i="28"/>
  <c r="G172" i="28"/>
  <c r="T172" i="28"/>
  <c r="J172" i="28"/>
  <c r="I172" i="28"/>
  <c r="H172" i="28"/>
  <c r="I165" i="28"/>
  <c r="T158" i="28"/>
  <c r="S158" i="28"/>
  <c r="Q151" i="28"/>
  <c r="P151" i="28"/>
  <c r="G165" i="28"/>
  <c r="R158" i="28"/>
  <c r="Q158" i="28"/>
  <c r="P158" i="28"/>
  <c r="S172" i="28"/>
  <c r="H158" i="28"/>
  <c r="R151" i="28"/>
  <c r="Q165" i="28"/>
  <c r="Q172" i="28"/>
  <c r="S165" i="28"/>
  <c r="R172" i="28"/>
  <c r="R165" i="28"/>
  <c r="N151" i="28"/>
  <c r="M151" i="28"/>
  <c r="K165" i="28"/>
  <c r="O144" i="28"/>
  <c r="N144" i="28"/>
  <c r="M144" i="28"/>
  <c r="O151" i="28"/>
  <c r="L144" i="28"/>
  <c r="O158" i="28"/>
  <c r="K144" i="28"/>
  <c r="N158" i="28"/>
  <c r="O165" i="28"/>
  <c r="J144" i="28"/>
  <c r="L151" i="28"/>
  <c r="M158" i="28"/>
  <c r="N165" i="28"/>
  <c r="G144" i="28"/>
  <c r="I144" i="28"/>
  <c r="K151" i="28"/>
  <c r="L158" i="28"/>
  <c r="M165" i="28"/>
  <c r="T144" i="28"/>
  <c r="T179" i="28" s="1"/>
  <c r="H144" i="28"/>
  <c r="J151" i="28"/>
  <c r="K158" i="28"/>
  <c r="L165" i="28"/>
  <c r="G151" i="28"/>
  <c r="I151" i="28"/>
  <c r="J158" i="28"/>
  <c r="J115" i="38"/>
  <c r="T178" i="28"/>
  <c r="R179" i="28" l="1"/>
  <c r="H179" i="28"/>
  <c r="Q179" i="28"/>
  <c r="I179" i="28"/>
  <c r="J179" i="28"/>
  <c r="P179" i="28"/>
  <c r="K179" i="28"/>
  <c r="L179" i="28"/>
  <c r="S179" i="28"/>
  <c r="G179" i="28"/>
  <c r="M179" i="28"/>
  <c r="O179" i="28"/>
  <c r="N179" i="28"/>
  <c r="T74" i="28"/>
  <c r="S74" i="28"/>
  <c r="R74" i="28"/>
  <c r="T370" i="28"/>
  <c r="T373" i="28" s="1"/>
  <c r="T297" i="28"/>
  <c r="T296" i="28"/>
  <c r="T295" i="28"/>
  <c r="T294" i="28"/>
  <c r="T291" i="28"/>
  <c r="T287" i="28"/>
  <c r="T286" i="28"/>
  <c r="T285" i="28"/>
  <c r="T284" i="28"/>
  <c r="T281" i="28"/>
  <c r="T277" i="28"/>
  <c r="T276" i="28"/>
  <c r="T275" i="28"/>
  <c r="T274" i="28"/>
  <c r="T271" i="28"/>
  <c r="T267" i="28"/>
  <c r="T266" i="28"/>
  <c r="T265" i="28"/>
  <c r="T264" i="28"/>
  <c r="T261" i="28"/>
  <c r="T257" i="28"/>
  <c r="T68" i="28"/>
  <c r="T256" i="28"/>
  <c r="T255" i="28"/>
  <c r="T254" i="28"/>
  <c r="T251" i="28"/>
  <c r="T243" i="28"/>
  <c r="T242" i="28"/>
  <c r="T241" i="28"/>
  <c r="T240" i="28"/>
  <c r="T239" i="28"/>
  <c r="T238" i="28"/>
  <c r="T237" i="28"/>
  <c r="T236" i="28"/>
  <c r="T301" i="28" l="1"/>
  <c r="T268" i="28"/>
  <c r="T292" i="28"/>
  <c r="T258" i="28"/>
  <c r="T282" i="28"/>
  <c r="T298" i="28"/>
  <c r="T262" i="28"/>
  <c r="T278" i="28"/>
  <c r="T252" i="28"/>
  <c r="T272" i="28"/>
  <c r="T288" i="28"/>
  <c r="T170" i="28"/>
  <c r="T169" i="28"/>
  <c r="T168" i="28"/>
  <c r="T163" i="28"/>
  <c r="T162" i="28"/>
  <c r="T161" i="28"/>
  <c r="T156" i="28"/>
  <c r="T155" i="28"/>
  <c r="T154" i="28"/>
  <c r="T149" i="28"/>
  <c r="T148" i="28"/>
  <c r="T147" i="28"/>
  <c r="T142" i="28"/>
  <c r="T141" i="28"/>
  <c r="S140" i="28"/>
  <c r="T128" i="28"/>
  <c r="T129" i="28"/>
  <c r="T130" i="28"/>
  <c r="T131" i="28"/>
  <c r="T127" i="28"/>
  <c r="T140" i="28"/>
  <c r="T63" i="28"/>
  <c r="S63" i="28"/>
  <c r="R63" i="28"/>
  <c r="Q63" i="28"/>
  <c r="P63" i="28"/>
  <c r="O63" i="28"/>
  <c r="N63" i="28"/>
  <c r="M63" i="28"/>
  <c r="L63" i="28"/>
  <c r="K63" i="28"/>
  <c r="J63" i="28"/>
  <c r="I63" i="28"/>
  <c r="H63" i="28"/>
  <c r="G63" i="28"/>
  <c r="T43" i="28"/>
  <c r="S43" i="28"/>
  <c r="R43" i="28"/>
  <c r="Q43" i="28"/>
  <c r="P43" i="28"/>
  <c r="O43" i="28"/>
  <c r="N43" i="28"/>
  <c r="M43" i="28"/>
  <c r="L43" i="28"/>
  <c r="K43" i="28"/>
  <c r="J43" i="28"/>
  <c r="I43" i="28"/>
  <c r="H43" i="28"/>
  <c r="G43" i="28"/>
  <c r="T40" i="28"/>
  <c r="S40" i="28"/>
  <c r="R40" i="28"/>
  <c r="Q40" i="28"/>
  <c r="P40" i="28"/>
  <c r="O40" i="28"/>
  <c r="N40" i="28"/>
  <c r="M40" i="28"/>
  <c r="L40" i="28"/>
  <c r="K40" i="28"/>
  <c r="J40" i="28"/>
  <c r="I40" i="28"/>
  <c r="H40" i="28"/>
  <c r="G40" i="28"/>
  <c r="T37" i="28"/>
  <c r="S37" i="28"/>
  <c r="R37" i="28"/>
  <c r="Q37" i="28"/>
  <c r="P37" i="28"/>
  <c r="O37" i="28"/>
  <c r="N37" i="28"/>
  <c r="M37" i="28"/>
  <c r="L37" i="28"/>
  <c r="K37" i="28"/>
  <c r="J37" i="28"/>
  <c r="I37" i="28"/>
  <c r="H37" i="28"/>
  <c r="G37" i="28"/>
  <c r="T35" i="28"/>
  <c r="S35" i="28"/>
  <c r="R35" i="28"/>
  <c r="Q35" i="28"/>
  <c r="P35" i="28"/>
  <c r="O35" i="28"/>
  <c r="N35" i="28"/>
  <c r="M35" i="28"/>
  <c r="L35" i="28"/>
  <c r="K35" i="28"/>
  <c r="J35" i="28"/>
  <c r="I35" i="28"/>
  <c r="H35" i="28"/>
  <c r="G35" i="28"/>
  <c r="T363" i="28" l="1"/>
  <c r="T175" i="28"/>
  <c r="T176" i="28"/>
  <c r="T177" i="28"/>
  <c r="T302" i="28"/>
  <c r="H94" i="7"/>
  <c r="H93" i="7"/>
  <c r="S95" i="7" l="1"/>
  <c r="AA8" i="33" s="1"/>
  <c r="R65" i="5"/>
  <c r="R68" i="5" s="1"/>
  <c r="I75" i="3" l="1"/>
  <c r="R7" i="33" s="1"/>
  <c r="J75" i="3"/>
  <c r="S7" i="33" s="1"/>
  <c r="K75" i="3"/>
  <c r="T7" i="33" s="1"/>
  <c r="L75" i="3"/>
  <c r="U7" i="33" s="1"/>
  <c r="M75" i="3"/>
  <c r="V7" i="33" s="1"/>
  <c r="N75" i="3"/>
  <c r="W7" i="33" s="1"/>
  <c r="O75" i="3"/>
  <c r="X7" i="33" s="1"/>
  <c r="P75" i="3"/>
  <c r="Y7" i="33" s="1"/>
  <c r="Q75" i="3"/>
  <c r="Z7" i="33" s="1"/>
  <c r="R75" i="3"/>
  <c r="AA7" i="33" s="1"/>
  <c r="I74" i="3"/>
  <c r="J74" i="3"/>
  <c r="K74" i="3"/>
  <c r="L74" i="3"/>
  <c r="M74" i="3"/>
  <c r="N74" i="3"/>
  <c r="O74" i="3"/>
  <c r="P74" i="3"/>
  <c r="Q74" i="3"/>
  <c r="R74" i="3"/>
  <c r="H74" i="3"/>
  <c r="Q6" i="33" s="1"/>
  <c r="I73" i="3"/>
  <c r="J73" i="3"/>
  <c r="K73" i="3"/>
  <c r="T6" i="33" s="1"/>
  <c r="L73" i="3"/>
  <c r="M73" i="3"/>
  <c r="N73" i="3"/>
  <c r="O73" i="3"/>
  <c r="P73" i="3"/>
  <c r="Q73" i="3"/>
  <c r="R73" i="3"/>
  <c r="AA6" i="33" l="1"/>
  <c r="Y6" i="33"/>
  <c r="Z6" i="33"/>
  <c r="X6" i="33"/>
  <c r="W6" i="33"/>
  <c r="S6" i="33"/>
  <c r="R6" i="33"/>
  <c r="V6" i="33"/>
  <c r="U6" i="33"/>
  <c r="E4" i="5"/>
  <c r="I68" i="1"/>
  <c r="I104" i="1" s="1"/>
  <c r="J68" i="1"/>
  <c r="J104" i="1" s="1"/>
  <c r="K68" i="1"/>
  <c r="K104" i="1" s="1"/>
  <c r="L68" i="1"/>
  <c r="L104" i="1" s="1"/>
  <c r="M68" i="1"/>
  <c r="M104" i="1" s="1"/>
  <c r="N68" i="1"/>
  <c r="N104" i="1" s="1"/>
  <c r="O68" i="1"/>
  <c r="O104" i="1" s="1"/>
  <c r="P68" i="1"/>
  <c r="P104" i="1" s="1"/>
  <c r="Q68" i="1"/>
  <c r="Q104" i="1" s="1"/>
  <c r="R68" i="1"/>
  <c r="R104" i="1" s="1"/>
  <c r="S68" i="1"/>
  <c r="S104" i="1" s="1"/>
  <c r="T68" i="1"/>
  <c r="T104" i="1" s="1"/>
  <c r="U68" i="1"/>
  <c r="U104" i="1" s="1"/>
  <c r="AC104" i="1" s="1"/>
  <c r="V68" i="1"/>
  <c r="H68" i="1"/>
  <c r="H104" i="1" s="1"/>
  <c r="I69" i="1"/>
  <c r="I105" i="1" s="1"/>
  <c r="J69" i="1"/>
  <c r="J105" i="1" s="1"/>
  <c r="K69" i="1"/>
  <c r="K105" i="1" s="1"/>
  <c r="L69" i="1"/>
  <c r="L105" i="1" s="1"/>
  <c r="M69" i="1"/>
  <c r="M105" i="1" s="1"/>
  <c r="N69" i="1"/>
  <c r="N105" i="1" s="1"/>
  <c r="O69" i="1"/>
  <c r="O105" i="1" s="1"/>
  <c r="P69" i="1"/>
  <c r="P105" i="1" s="1"/>
  <c r="Q69" i="1"/>
  <c r="Q105" i="1" s="1"/>
  <c r="R69" i="1"/>
  <c r="R105" i="1" s="1"/>
  <c r="S69" i="1"/>
  <c r="S105" i="1" s="1"/>
  <c r="T69" i="1"/>
  <c r="T105" i="1" s="1"/>
  <c r="U69" i="1"/>
  <c r="U105" i="1" s="1"/>
  <c r="AC105" i="1" s="1"/>
  <c r="V69" i="1"/>
  <c r="H69" i="1"/>
  <c r="H105" i="1" s="1"/>
  <c r="V4" i="33" l="1"/>
  <c r="AC106" i="1"/>
  <c r="AW105" i="1"/>
  <c r="AD105" i="1" s="1"/>
  <c r="AE105" i="1" s="1"/>
  <c r="AF105" i="1" s="1"/>
  <c r="AG105" i="1" s="1"/>
  <c r="AH105" i="1" s="1"/>
  <c r="AI105" i="1" s="1"/>
  <c r="AJ105" i="1" s="1"/>
  <c r="AK105" i="1" s="1"/>
  <c r="AL105" i="1" s="1"/>
  <c r="AM105" i="1" s="1"/>
  <c r="AN105" i="1" s="1"/>
  <c r="AO105" i="1" s="1"/>
  <c r="AP105" i="1" s="1"/>
  <c r="AQ105" i="1" s="1"/>
  <c r="AR105" i="1" s="1"/>
  <c r="AS105" i="1" s="1"/>
  <c r="AT105" i="1" s="1"/>
  <c r="AU105" i="1" s="1"/>
  <c r="AV105" i="1" s="1"/>
  <c r="X104" i="1"/>
  <c r="X105" i="1"/>
  <c r="Y105" i="1" s="1"/>
  <c r="Z105" i="1" s="1"/>
  <c r="AA105" i="1" s="1"/>
  <c r="AB105" i="1" s="1"/>
  <c r="AW104" i="1"/>
  <c r="M87" i="3"/>
  <c r="I81" i="3"/>
  <c r="J81" i="3"/>
  <c r="K81" i="3"/>
  <c r="L81" i="3"/>
  <c r="M81" i="3"/>
  <c r="N81" i="3"/>
  <c r="O81" i="3"/>
  <c r="P81" i="3"/>
  <c r="Q81" i="3"/>
  <c r="R81" i="3"/>
  <c r="H81" i="3"/>
  <c r="I78" i="3"/>
  <c r="J78" i="3"/>
  <c r="K78" i="3"/>
  <c r="L78" i="3"/>
  <c r="M78" i="3"/>
  <c r="N78" i="3"/>
  <c r="O78" i="3"/>
  <c r="P78" i="3"/>
  <c r="Q78" i="3"/>
  <c r="R78" i="3"/>
  <c r="H78" i="3"/>
  <c r="I87" i="3"/>
  <c r="J87" i="3"/>
  <c r="K87" i="3"/>
  <c r="L87" i="3"/>
  <c r="N87" i="3"/>
  <c r="O87" i="3"/>
  <c r="P87" i="3"/>
  <c r="Q87" i="3"/>
  <c r="R87" i="3"/>
  <c r="I86" i="3"/>
  <c r="J86" i="3"/>
  <c r="K86" i="3"/>
  <c r="L86" i="3"/>
  <c r="M86" i="3"/>
  <c r="N86" i="3"/>
  <c r="O86" i="3"/>
  <c r="P86" i="3"/>
  <c r="Q86" i="3"/>
  <c r="R86" i="3"/>
  <c r="H87" i="3"/>
  <c r="H86" i="3"/>
  <c r="Q4" i="33" l="1"/>
  <c r="X106" i="1"/>
  <c r="AD104" i="1"/>
  <c r="AW106" i="1"/>
  <c r="Y104" i="1"/>
  <c r="J85" i="3"/>
  <c r="M85" i="3"/>
  <c r="P85" i="3"/>
  <c r="H85" i="3"/>
  <c r="O85" i="3"/>
  <c r="K85" i="3"/>
  <c r="Q85" i="3"/>
  <c r="I85" i="3"/>
  <c r="R85" i="3"/>
  <c r="N85" i="3"/>
  <c r="L85" i="3"/>
  <c r="T32" i="5"/>
  <c r="Y106" i="1" l="1"/>
  <c r="R4" i="33"/>
  <c r="AD106" i="1"/>
  <c r="W4" i="33"/>
  <c r="AE104" i="1"/>
  <c r="Z104" i="1"/>
  <c r="I66" i="1"/>
  <c r="I65" i="1" s="1"/>
  <c r="I70" i="1" s="1"/>
  <c r="J66" i="1"/>
  <c r="J65" i="1" s="1"/>
  <c r="J70" i="1" s="1"/>
  <c r="K66" i="1"/>
  <c r="K65" i="1" s="1"/>
  <c r="K70" i="1" s="1"/>
  <c r="L66" i="1"/>
  <c r="L65" i="1" s="1"/>
  <c r="L70" i="1" s="1"/>
  <c r="M66" i="1"/>
  <c r="M65" i="1" s="1"/>
  <c r="M70" i="1" s="1"/>
  <c r="N66" i="1"/>
  <c r="N65" i="1" s="1"/>
  <c r="N70" i="1" s="1"/>
  <c r="O66" i="1"/>
  <c r="O65" i="1" s="1"/>
  <c r="O70" i="1" s="1"/>
  <c r="P66" i="1"/>
  <c r="P65" i="1" s="1"/>
  <c r="P70" i="1" s="1"/>
  <c r="Q66" i="1"/>
  <c r="Q65" i="1" s="1"/>
  <c r="Q70" i="1" s="1"/>
  <c r="R66" i="1"/>
  <c r="R65" i="1" s="1"/>
  <c r="R70" i="1" s="1"/>
  <c r="S66" i="1"/>
  <c r="S65" i="1" s="1"/>
  <c r="S70" i="1" s="1"/>
  <c r="T66" i="1"/>
  <c r="T65" i="1" s="1"/>
  <c r="T70" i="1" s="1"/>
  <c r="U66" i="1"/>
  <c r="U65" i="1" s="1"/>
  <c r="U70" i="1" s="1"/>
  <c r="V66" i="1"/>
  <c r="V65" i="1" s="1"/>
  <c r="V70" i="1" s="1"/>
  <c r="H66" i="1"/>
  <c r="H65" i="1" s="1"/>
  <c r="H70" i="1" s="1"/>
  <c r="Z106" i="1" l="1"/>
  <c r="S4" i="33"/>
  <c r="AE106" i="1"/>
  <c r="X4" i="33"/>
  <c r="AF104" i="1"/>
  <c r="AA104" i="1"/>
  <c r="D9" i="33"/>
  <c r="E9" i="33"/>
  <c r="F9" i="33"/>
  <c r="G9" i="33"/>
  <c r="H9" i="33"/>
  <c r="I9" i="33"/>
  <c r="J9" i="33"/>
  <c r="K9" i="33"/>
  <c r="L9" i="33"/>
  <c r="M9" i="33"/>
  <c r="N9" i="33"/>
  <c r="O9" i="33"/>
  <c r="C9" i="33"/>
  <c r="U10" i="5"/>
  <c r="G127" i="28"/>
  <c r="C525" i="20"/>
  <c r="AA106" i="1" l="1"/>
  <c r="T4" i="33"/>
  <c r="AF106" i="1"/>
  <c r="Y4" i="33"/>
  <c r="D525" i="20"/>
  <c r="E525" i="20" s="1"/>
  <c r="AG104" i="1"/>
  <c r="AB104" i="1"/>
  <c r="U4" i="33" s="1"/>
  <c r="P9" i="33"/>
  <c r="T54" i="5"/>
  <c r="C524" i="20"/>
  <c r="U54" i="5"/>
  <c r="V54" i="5"/>
  <c r="AG106" i="1" l="1"/>
  <c r="Z4" i="33"/>
  <c r="AF9" i="33"/>
  <c r="E524" i="20"/>
  <c r="AH104" i="1"/>
  <c r="AB106" i="1"/>
  <c r="AC9" i="33"/>
  <c r="H92" i="2"/>
  <c r="H171" i="34"/>
  <c r="I171" i="34" s="1"/>
  <c r="J171" i="34" s="1"/>
  <c r="GB168" i="34"/>
  <c r="FP168" i="34"/>
  <c r="ER168" i="34"/>
  <c r="EF168" i="34"/>
  <c r="DT168" i="34"/>
  <c r="DH168" i="34"/>
  <c r="CV168" i="34"/>
  <c r="CJ168" i="34"/>
  <c r="BX168" i="34"/>
  <c r="BL168" i="34"/>
  <c r="AZ168" i="34"/>
  <c r="AN168" i="34"/>
  <c r="AB168" i="34"/>
  <c r="P168" i="34"/>
  <c r="D168" i="34"/>
  <c r="H158" i="34"/>
  <c r="H160" i="34" s="1"/>
  <c r="G116" i="34"/>
  <c r="G123" i="34" s="1"/>
  <c r="G109" i="34"/>
  <c r="G108" i="34"/>
  <c r="G107" i="34"/>
  <c r="G106" i="34"/>
  <c r="J101" i="34"/>
  <c r="K101" i="34"/>
  <c r="L101" i="34"/>
  <c r="M101" i="34"/>
  <c r="N101" i="34"/>
  <c r="O101" i="34"/>
  <c r="P101" i="34"/>
  <c r="Q101" i="34"/>
  <c r="R101" i="34"/>
  <c r="S101" i="34"/>
  <c r="T101" i="34"/>
  <c r="U101" i="34"/>
  <c r="I101" i="34"/>
  <c r="J99" i="34"/>
  <c r="K99" i="34"/>
  <c r="L99" i="34"/>
  <c r="M99" i="34"/>
  <c r="N99" i="34"/>
  <c r="O99" i="34"/>
  <c r="P99" i="34"/>
  <c r="Q99" i="34"/>
  <c r="R99" i="34"/>
  <c r="S99" i="34"/>
  <c r="T99" i="34"/>
  <c r="U99" i="34"/>
  <c r="I99" i="34"/>
  <c r="J97" i="34"/>
  <c r="K97" i="34"/>
  <c r="L97" i="34"/>
  <c r="M97" i="34"/>
  <c r="N97" i="34"/>
  <c r="O97" i="34"/>
  <c r="P97" i="34"/>
  <c r="Q97" i="34"/>
  <c r="R97" i="34"/>
  <c r="S97" i="34"/>
  <c r="T97" i="34"/>
  <c r="U97" i="34"/>
  <c r="I97" i="34"/>
  <c r="K94" i="34"/>
  <c r="L94" i="34"/>
  <c r="M94" i="34"/>
  <c r="N94" i="34"/>
  <c r="O94" i="34"/>
  <c r="P94" i="34"/>
  <c r="Q94" i="34"/>
  <c r="R94" i="34"/>
  <c r="S94" i="34"/>
  <c r="T94" i="34"/>
  <c r="J94" i="34"/>
  <c r="K92" i="34"/>
  <c r="L92" i="34"/>
  <c r="M92" i="34"/>
  <c r="N92" i="34"/>
  <c r="O92" i="34"/>
  <c r="P92" i="34"/>
  <c r="Q92" i="34"/>
  <c r="R92" i="34"/>
  <c r="S92" i="34"/>
  <c r="T92" i="34"/>
  <c r="J92" i="34"/>
  <c r="AH106" i="1" l="1"/>
  <c r="AA4" i="33"/>
  <c r="AI104" i="1"/>
  <c r="AJ104" i="1" s="1"/>
  <c r="H159" i="34"/>
  <c r="H161" i="34"/>
  <c r="G110" i="34"/>
  <c r="H110" i="34" s="1"/>
  <c r="H197" i="34"/>
  <c r="H196" i="34"/>
  <c r="AU193" i="34"/>
  <c r="AT193" i="34"/>
  <c r="AS193" i="34"/>
  <c r="AR193" i="34"/>
  <c r="AQ193" i="34"/>
  <c r="AP193" i="34"/>
  <c r="AO193" i="34"/>
  <c r="AN193" i="34"/>
  <c r="AM193" i="34"/>
  <c r="AL193" i="34"/>
  <c r="AK193" i="34"/>
  <c r="AJ193" i="34"/>
  <c r="AI193" i="34"/>
  <c r="AH193" i="34"/>
  <c r="AG193" i="34"/>
  <c r="AF193" i="34"/>
  <c r="AE193" i="34"/>
  <c r="AD193" i="34"/>
  <c r="AC193" i="34"/>
  <c r="AB193" i="34"/>
  <c r="AA193" i="34"/>
  <c r="Z193" i="34"/>
  <c r="Y193" i="34"/>
  <c r="X193" i="34"/>
  <c r="W193" i="34"/>
  <c r="V193" i="34"/>
  <c r="U193" i="34"/>
  <c r="T193" i="34"/>
  <c r="S193" i="34"/>
  <c r="R193" i="34"/>
  <c r="Q193" i="34"/>
  <c r="P193" i="34"/>
  <c r="O193" i="34"/>
  <c r="N193" i="34"/>
  <c r="M193" i="34"/>
  <c r="E68" i="34"/>
  <c r="T75" i="34" s="1"/>
  <c r="E67" i="34"/>
  <c r="P74" i="34" s="1"/>
  <c r="E66" i="34"/>
  <c r="Q73" i="34" s="1"/>
  <c r="S49" i="34"/>
  <c r="R49" i="34"/>
  <c r="Q49" i="34"/>
  <c r="P49" i="34"/>
  <c r="O49" i="34"/>
  <c r="S48" i="34"/>
  <c r="R48" i="34"/>
  <c r="Q48" i="34"/>
  <c r="P48" i="34"/>
  <c r="O48" i="34"/>
  <c r="T47" i="34"/>
  <c r="N47" i="34"/>
  <c r="N48" i="34" s="1"/>
  <c r="AI106" i="1" l="1"/>
  <c r="AK104" i="1"/>
  <c r="AJ106" i="1"/>
  <c r="H162" i="34"/>
  <c r="L142" i="34"/>
  <c r="P142" i="34"/>
  <c r="T142" i="34"/>
  <c r="N142" i="34"/>
  <c r="O142" i="34"/>
  <c r="I142" i="34"/>
  <c r="M142" i="34"/>
  <c r="Q142" i="34"/>
  <c r="H142" i="34"/>
  <c r="J142" i="34"/>
  <c r="R142" i="34"/>
  <c r="K142" i="34"/>
  <c r="S142" i="34"/>
  <c r="H107" i="34"/>
  <c r="H106" i="34"/>
  <c r="S74" i="34"/>
  <c r="T74" i="34"/>
  <c r="H74" i="34"/>
  <c r="I73" i="34"/>
  <c r="K74" i="34"/>
  <c r="I75" i="34"/>
  <c r="Q75" i="34"/>
  <c r="N49" i="34"/>
  <c r="N73" i="34"/>
  <c r="L74" i="34"/>
  <c r="J75" i="34"/>
  <c r="R75" i="34"/>
  <c r="N75" i="34"/>
  <c r="M75" i="34"/>
  <c r="U75" i="34"/>
  <c r="H204" i="34" s="1"/>
  <c r="I204" i="34" s="1"/>
  <c r="T73" i="34"/>
  <c r="P73" i="34"/>
  <c r="L73" i="34"/>
  <c r="H73" i="34"/>
  <c r="S73" i="34"/>
  <c r="O73" i="34"/>
  <c r="K73" i="34"/>
  <c r="J73" i="34"/>
  <c r="R73" i="34"/>
  <c r="T48" i="34"/>
  <c r="T49" i="34"/>
  <c r="R74" i="34"/>
  <c r="N74" i="34"/>
  <c r="J74" i="34"/>
  <c r="U74" i="34"/>
  <c r="Q74" i="34"/>
  <c r="M74" i="34"/>
  <c r="I74" i="34"/>
  <c r="M73" i="34"/>
  <c r="U73" i="34"/>
  <c r="O74" i="34"/>
  <c r="K75" i="34"/>
  <c r="O75" i="34"/>
  <c r="S75" i="34"/>
  <c r="H75" i="34"/>
  <c r="L75" i="34"/>
  <c r="P75" i="34"/>
  <c r="AL104" i="1" l="1"/>
  <c r="AK106" i="1"/>
  <c r="G160" i="34"/>
  <c r="L177" i="34"/>
  <c r="G159" i="34"/>
  <c r="G158" i="34"/>
  <c r="G161" i="34"/>
  <c r="H109" i="34"/>
  <c r="G133" i="34" s="1"/>
  <c r="J204" i="34"/>
  <c r="K204" i="34" s="1"/>
  <c r="L204" i="34" s="1"/>
  <c r="M204" i="34" s="1"/>
  <c r="N204" i="34" s="1"/>
  <c r="AM104" i="1" l="1"/>
  <c r="AL106" i="1"/>
  <c r="G177" i="34"/>
  <c r="H145" i="34"/>
  <c r="O204" i="34"/>
  <c r="P204" i="34" s="1"/>
  <c r="Q204" i="34" s="1"/>
  <c r="R204" i="34" s="1"/>
  <c r="S204" i="34" s="1"/>
  <c r="I89" i="2"/>
  <c r="AN104" i="1" l="1"/>
  <c r="AM106" i="1"/>
  <c r="Q177" i="34"/>
  <c r="U177" i="34"/>
  <c r="K177" i="34"/>
  <c r="P177" i="34"/>
  <c r="N177" i="34"/>
  <c r="R177" i="34"/>
  <c r="M177" i="34"/>
  <c r="O177" i="34"/>
  <c r="S177" i="34"/>
  <c r="T177" i="34"/>
  <c r="K148" i="34"/>
  <c r="T148" i="34"/>
  <c r="P148" i="34"/>
  <c r="L148" i="34"/>
  <c r="L180" i="34" s="1"/>
  <c r="I11" i="5" s="1"/>
  <c r="O148" i="34"/>
  <c r="N148" i="34"/>
  <c r="Q148" i="34"/>
  <c r="S148" i="34"/>
  <c r="I148" i="34"/>
  <c r="R148" i="34"/>
  <c r="J148" i="34"/>
  <c r="H148" i="34"/>
  <c r="M148" i="34"/>
  <c r="Q5" i="33"/>
  <c r="AD9" i="33"/>
  <c r="AE9" i="33"/>
  <c r="AE6" i="33"/>
  <c r="AE7" i="33"/>
  <c r="I55" i="5" l="1"/>
  <c r="G10" i="33" s="1"/>
  <c r="AO104" i="1"/>
  <c r="AN106" i="1"/>
  <c r="P180" i="34"/>
  <c r="M11" i="5" s="1"/>
  <c r="M180" i="34"/>
  <c r="J11" i="5" s="1"/>
  <c r="K180" i="34"/>
  <c r="H11" i="5" s="1"/>
  <c r="T180" i="34"/>
  <c r="Q11" i="5" s="1"/>
  <c r="S180" i="34"/>
  <c r="P11" i="5" s="1"/>
  <c r="R180" i="34"/>
  <c r="O11" i="5" s="1"/>
  <c r="U180" i="34"/>
  <c r="H207" i="34" s="1"/>
  <c r="O180" i="34"/>
  <c r="L11" i="5" s="1"/>
  <c r="N180" i="34"/>
  <c r="K11" i="5" s="1"/>
  <c r="Q180" i="34"/>
  <c r="N11" i="5" s="1"/>
  <c r="L55" i="5" l="1"/>
  <c r="J10" i="33" s="1"/>
  <c r="H55" i="5"/>
  <c r="F10" i="33" s="1"/>
  <c r="O55" i="5"/>
  <c r="M10" i="33" s="1"/>
  <c r="Q55" i="5"/>
  <c r="O10" i="33" s="1"/>
  <c r="J55" i="5"/>
  <c r="H10" i="33" s="1"/>
  <c r="K55" i="5"/>
  <c r="I10" i="33" s="1"/>
  <c r="P55" i="5"/>
  <c r="N10" i="33" s="1"/>
  <c r="N55" i="5"/>
  <c r="L10" i="33" s="1"/>
  <c r="AP104" i="1"/>
  <c r="AO106" i="1"/>
  <c r="M55" i="5"/>
  <c r="K10" i="33" s="1"/>
  <c r="I207" i="34"/>
  <c r="R11" i="5"/>
  <c r="T11" i="5" l="1"/>
  <c r="AQ104" i="1"/>
  <c r="AP106" i="1"/>
  <c r="U11" i="5"/>
  <c r="R55" i="5"/>
  <c r="T55" i="5" s="1"/>
  <c r="J207" i="34"/>
  <c r="Q10" i="33"/>
  <c r="Q16" i="33" s="1"/>
  <c r="S156" i="28"/>
  <c r="H469" i="20"/>
  <c r="K469" i="20" s="1"/>
  <c r="G469" i="20"/>
  <c r="G458" i="20"/>
  <c r="AR104" i="1" l="1"/>
  <c r="AQ106" i="1"/>
  <c r="P10" i="33"/>
  <c r="AC10" i="33" s="1"/>
  <c r="U55" i="5"/>
  <c r="V55" i="5"/>
  <c r="K207" i="34"/>
  <c r="R10" i="33"/>
  <c r="T68" i="10"/>
  <c r="AS104" i="1" l="1"/>
  <c r="AR106" i="1"/>
  <c r="L207" i="34"/>
  <c r="S10" i="33"/>
  <c r="R28" i="5"/>
  <c r="R26" i="5"/>
  <c r="V379" i="20"/>
  <c r="V381" i="20" s="1"/>
  <c r="V389" i="20" s="1"/>
  <c r="V360" i="20"/>
  <c r="V341" i="20"/>
  <c r="V342" i="20" s="1"/>
  <c r="V350" i="20" s="1"/>
  <c r="V322" i="20"/>
  <c r="V303" i="20"/>
  <c r="V305" i="20" s="1"/>
  <c r="V258" i="20"/>
  <c r="V262" i="20" s="1"/>
  <c r="V245" i="20"/>
  <c r="V249" i="20" s="1"/>
  <c r="V232" i="20"/>
  <c r="V236" i="20" s="1"/>
  <c r="V219" i="20"/>
  <c r="V223" i="20" s="1"/>
  <c r="V206" i="20"/>
  <c r="V210" i="20" s="1"/>
  <c r="V197" i="20"/>
  <c r="V168" i="20"/>
  <c r="V198" i="20" s="1"/>
  <c r="U168" i="20"/>
  <c r="V112" i="20"/>
  <c r="V111" i="20"/>
  <c r="I112" i="20"/>
  <c r="I111" i="20"/>
  <c r="V313" i="20" l="1"/>
  <c r="AT104" i="1"/>
  <c r="AS106" i="1"/>
  <c r="M207" i="34"/>
  <c r="T10" i="33"/>
  <c r="R20" i="5"/>
  <c r="V113" i="20"/>
  <c r="V200" i="20" s="1"/>
  <c r="V228" i="20" s="1"/>
  <c r="V344" i="20"/>
  <c r="V352" i="20" s="1"/>
  <c r="V207" i="20"/>
  <c r="V382" i="20"/>
  <c r="V390" i="20" s="1"/>
  <c r="V224" i="20"/>
  <c r="V229" i="20" s="1"/>
  <c r="V250" i="20"/>
  <c r="V255" i="20" s="1"/>
  <c r="V380" i="20"/>
  <c r="V388" i="20" s="1"/>
  <c r="V208" i="20"/>
  <c r="V237" i="20"/>
  <c r="V242" i="20" s="1"/>
  <c r="V263" i="20"/>
  <c r="V268" i="20" s="1"/>
  <c r="V323" i="20"/>
  <c r="V331" i="20" s="1"/>
  <c r="V211" i="20"/>
  <c r="V216" i="20" s="1"/>
  <c r="V221" i="20"/>
  <c r="V226" i="20" s="1"/>
  <c r="V234" i="20"/>
  <c r="V239" i="20" s="1"/>
  <c r="V247" i="20"/>
  <c r="V252" i="20" s="1"/>
  <c r="V260" i="20"/>
  <c r="V265" i="20" s="1"/>
  <c r="V325" i="20"/>
  <c r="V333" i="20" s="1"/>
  <c r="V363" i="20"/>
  <c r="V371" i="20" s="1"/>
  <c r="V361" i="20"/>
  <c r="V369" i="20" s="1"/>
  <c r="V209" i="20"/>
  <c r="V220" i="20"/>
  <c r="V225" i="20" s="1"/>
  <c r="V233" i="20"/>
  <c r="V238" i="20" s="1"/>
  <c r="V246" i="20"/>
  <c r="V251" i="20" s="1"/>
  <c r="V259" i="20"/>
  <c r="V264" i="20" s="1"/>
  <c r="V306" i="20"/>
  <c r="V314" i="20" s="1"/>
  <c r="V324" i="20"/>
  <c r="V332" i="20" s="1"/>
  <c r="V343" i="20"/>
  <c r="V351" i="20" s="1"/>
  <c r="V362" i="20"/>
  <c r="V370" i="20" s="1"/>
  <c r="V222" i="20"/>
  <c r="V227" i="20" s="1"/>
  <c r="V235" i="20"/>
  <c r="V240" i="20" s="1"/>
  <c r="V248" i="20"/>
  <c r="V253" i="20" s="1"/>
  <c r="V261" i="20"/>
  <c r="V266" i="20" s="1"/>
  <c r="V304" i="20"/>
  <c r="V312" i="20" l="1"/>
  <c r="D473" i="20"/>
  <c r="D529" i="20"/>
  <c r="D475" i="20"/>
  <c r="D474" i="20"/>
  <c r="AU104" i="1"/>
  <c r="AT106" i="1"/>
  <c r="E473" i="20"/>
  <c r="V214" i="20"/>
  <c r="E475" i="20"/>
  <c r="I475" i="20" s="1"/>
  <c r="V213" i="20"/>
  <c r="E474" i="20"/>
  <c r="V212" i="20"/>
  <c r="N207" i="34"/>
  <c r="U10" i="33"/>
  <c r="V215" i="20"/>
  <c r="V267" i="20"/>
  <c r="V269" i="20" s="1"/>
  <c r="V254" i="20"/>
  <c r="V256" i="20" s="1"/>
  <c r="V241" i="20"/>
  <c r="V243" i="20" s="1"/>
  <c r="V230" i="20"/>
  <c r="U60" i="2"/>
  <c r="R21" i="5" s="1"/>
  <c r="N92" i="2"/>
  <c r="R12" i="5"/>
  <c r="R8" i="5"/>
  <c r="R7" i="5"/>
  <c r="R4" i="5"/>
  <c r="O89" i="2"/>
  <c r="R56" i="5" l="1"/>
  <c r="P11" i="33" s="1"/>
  <c r="R52" i="5"/>
  <c r="P7" i="33" s="1"/>
  <c r="R51" i="5"/>
  <c r="P6" i="33" s="1"/>
  <c r="E529" i="20"/>
  <c r="F529" i="20" s="1"/>
  <c r="I529" i="20"/>
  <c r="I474" i="20"/>
  <c r="I473" i="20"/>
  <c r="AV104" i="1"/>
  <c r="AV106" i="1" s="1"/>
  <c r="AU106" i="1"/>
  <c r="R48" i="5"/>
  <c r="V217" i="20"/>
  <c r="V270" i="20" s="1"/>
  <c r="E476" i="20"/>
  <c r="W5" i="33"/>
  <c r="O207" i="34"/>
  <c r="V10" i="33"/>
  <c r="AF10" i="33" s="1"/>
  <c r="I92" i="2"/>
  <c r="P89" i="2"/>
  <c r="U61" i="2"/>
  <c r="O92" i="2"/>
  <c r="J89" i="2"/>
  <c r="H459" i="20"/>
  <c r="I459" i="20"/>
  <c r="J459" i="20"/>
  <c r="K459" i="20"/>
  <c r="L459" i="20"/>
  <c r="M459" i="20"/>
  <c r="N459" i="20"/>
  <c r="O459" i="20"/>
  <c r="P459" i="20"/>
  <c r="Q459" i="20"/>
  <c r="G468" i="20" s="1"/>
  <c r="R459" i="20"/>
  <c r="S459" i="20"/>
  <c r="G459" i="20"/>
  <c r="H458" i="20"/>
  <c r="I458" i="20"/>
  <c r="J458" i="20"/>
  <c r="K458" i="20"/>
  <c r="L458" i="20"/>
  <c r="M458" i="20"/>
  <c r="N458" i="20"/>
  <c r="O458" i="20"/>
  <c r="P458" i="20"/>
  <c r="Q458" i="20"/>
  <c r="G467" i="20" s="1"/>
  <c r="R458" i="20"/>
  <c r="S458" i="20"/>
  <c r="H170" i="28"/>
  <c r="I170" i="28"/>
  <c r="J170" i="28"/>
  <c r="K170" i="28"/>
  <c r="L170" i="28"/>
  <c r="M170" i="28"/>
  <c r="N170" i="28"/>
  <c r="O170" i="28"/>
  <c r="P170" i="28"/>
  <c r="Q170" i="28"/>
  <c r="R170" i="28"/>
  <c r="S170" i="28"/>
  <c r="G170" i="28"/>
  <c r="H163" i="28"/>
  <c r="I163" i="28"/>
  <c r="J163" i="28"/>
  <c r="K163" i="28"/>
  <c r="L163" i="28"/>
  <c r="M163" i="28"/>
  <c r="N163" i="28"/>
  <c r="O163" i="28"/>
  <c r="P163" i="28"/>
  <c r="Q163" i="28"/>
  <c r="R163" i="28"/>
  <c r="S163" i="28"/>
  <c r="G163" i="28"/>
  <c r="H156" i="28"/>
  <c r="I156" i="28"/>
  <c r="J156" i="28"/>
  <c r="K156" i="28"/>
  <c r="L156" i="28"/>
  <c r="M156" i="28"/>
  <c r="N156" i="28"/>
  <c r="O156" i="28"/>
  <c r="P156" i="28"/>
  <c r="Q156" i="28"/>
  <c r="R156" i="28"/>
  <c r="G156" i="28"/>
  <c r="H149" i="28"/>
  <c r="I149" i="28"/>
  <c r="J149" i="28"/>
  <c r="K149" i="28"/>
  <c r="L149" i="28"/>
  <c r="M149" i="28"/>
  <c r="N149" i="28"/>
  <c r="O149" i="28"/>
  <c r="P149" i="28"/>
  <c r="Q149" i="28"/>
  <c r="R149" i="28"/>
  <c r="S149" i="28"/>
  <c r="G149" i="28"/>
  <c r="H142" i="28"/>
  <c r="I142" i="28"/>
  <c r="J142" i="28"/>
  <c r="K142" i="28"/>
  <c r="L142" i="28"/>
  <c r="M142" i="28"/>
  <c r="N142" i="28"/>
  <c r="O142" i="28"/>
  <c r="P142" i="28"/>
  <c r="Q142" i="28"/>
  <c r="R142" i="28"/>
  <c r="S142" i="28"/>
  <c r="G142" i="28"/>
  <c r="G456" i="20"/>
  <c r="H456" i="20"/>
  <c r="I456" i="20"/>
  <c r="J456" i="20"/>
  <c r="K456" i="20"/>
  <c r="L456" i="20"/>
  <c r="M456" i="20"/>
  <c r="N456" i="20"/>
  <c r="O456" i="20"/>
  <c r="P456" i="20"/>
  <c r="Q456" i="20"/>
  <c r="R456" i="20"/>
  <c r="S456" i="20"/>
  <c r="G457" i="20"/>
  <c r="H457" i="20"/>
  <c r="I457" i="20"/>
  <c r="J457" i="20"/>
  <c r="K457" i="20"/>
  <c r="L457" i="20"/>
  <c r="M457" i="20"/>
  <c r="N457" i="20"/>
  <c r="O457" i="20"/>
  <c r="P457" i="20"/>
  <c r="Q457" i="20"/>
  <c r="G466" i="20" s="1"/>
  <c r="R457" i="20"/>
  <c r="S457" i="20"/>
  <c r="D436" i="20"/>
  <c r="D435" i="20"/>
  <c r="D437" i="20"/>
  <c r="D438" i="20"/>
  <c r="D439" i="20"/>
  <c r="D440" i="20"/>
  <c r="D441" i="20"/>
  <c r="D442" i="20"/>
  <c r="D434" i="20"/>
  <c r="F421" i="20"/>
  <c r="E421" i="20"/>
  <c r="D421" i="20"/>
  <c r="V271" i="20" l="1"/>
  <c r="V277" i="20" s="1"/>
  <c r="P4" i="33"/>
  <c r="AD4" i="33" s="1"/>
  <c r="J466" i="20"/>
  <c r="K466" i="20" s="1"/>
  <c r="P177" i="28"/>
  <c r="AF11" i="33"/>
  <c r="AF7" i="33"/>
  <c r="AD7" i="33"/>
  <c r="AF6" i="33"/>
  <c r="AD6" i="33"/>
  <c r="J465" i="20"/>
  <c r="K465" i="20" s="1"/>
  <c r="F473" i="20" s="1"/>
  <c r="X5" i="33"/>
  <c r="R5" i="33"/>
  <c r="P207" i="34"/>
  <c r="W10" i="33"/>
  <c r="W16" i="33" s="1"/>
  <c r="U64" i="2"/>
  <c r="R5" i="5" s="1"/>
  <c r="P92" i="2"/>
  <c r="Q89" i="2"/>
  <c r="R89" i="2" s="1"/>
  <c r="I177" i="28"/>
  <c r="L177" i="28"/>
  <c r="M341" i="28" s="1"/>
  <c r="H177" i="28"/>
  <c r="Q177" i="28"/>
  <c r="M177" i="28"/>
  <c r="J467" i="20"/>
  <c r="K467" i="20" s="1"/>
  <c r="J468" i="20"/>
  <c r="K89" i="2"/>
  <c r="J92" i="2"/>
  <c r="G177" i="28"/>
  <c r="R177" i="28"/>
  <c r="N177" i="28"/>
  <c r="J177" i="28"/>
  <c r="S177" i="28"/>
  <c r="T341" i="28" s="1"/>
  <c r="T355" i="28" s="1"/>
  <c r="O177" i="28"/>
  <c r="K177" i="28"/>
  <c r="L341" i="28" s="1"/>
  <c r="R49" i="5" l="1"/>
  <c r="P5" i="33" s="1"/>
  <c r="F387" i="28"/>
  <c r="K341" i="28"/>
  <c r="H387" i="28"/>
  <c r="V274" i="20"/>
  <c r="V275" i="20"/>
  <c r="V276" i="20"/>
  <c r="R16" i="33"/>
  <c r="AF4" i="33"/>
  <c r="O473" i="20"/>
  <c r="G473" i="20"/>
  <c r="S5" i="33"/>
  <c r="Y5" i="33"/>
  <c r="Q207" i="34"/>
  <c r="X10" i="33"/>
  <c r="X16" i="33" s="1"/>
  <c r="Q92" i="2"/>
  <c r="K92" i="2"/>
  <c r="R92" i="2"/>
  <c r="K468" i="20"/>
  <c r="L89" i="2"/>
  <c r="S89" i="2"/>
  <c r="T89" i="2" s="1"/>
  <c r="U89" i="2" s="1"/>
  <c r="V89" i="2" s="1"/>
  <c r="W89" i="2" s="1"/>
  <c r="X89" i="2" s="1"/>
  <c r="Y89" i="2" s="1"/>
  <c r="Z89" i="2" s="1"/>
  <c r="AA89" i="2" s="1"/>
  <c r="AB89" i="2" s="1"/>
  <c r="AC89" i="2" s="1"/>
  <c r="AD89" i="2" s="1"/>
  <c r="AE89" i="2" s="1"/>
  <c r="AF89" i="2" s="1"/>
  <c r="V278" i="20" l="1"/>
  <c r="W28" i="33"/>
  <c r="X28" i="33"/>
  <c r="Q28" i="33"/>
  <c r="R28" i="33"/>
  <c r="S28" i="33"/>
  <c r="S16" i="33"/>
  <c r="O479" i="20"/>
  <c r="J473" i="20"/>
  <c r="P16" i="33"/>
  <c r="Y30" i="33"/>
  <c r="R30" i="33"/>
  <c r="X30" i="33"/>
  <c r="S30" i="33"/>
  <c r="W30" i="33"/>
  <c r="Q30" i="33"/>
  <c r="AA5" i="33"/>
  <c r="Z5" i="33"/>
  <c r="T5" i="33"/>
  <c r="R207" i="34"/>
  <c r="Y10" i="33"/>
  <c r="Y28" i="33" s="1"/>
  <c r="L92" i="2"/>
  <c r="M89" i="2"/>
  <c r="T28" i="33" l="1"/>
  <c r="Y16" i="33"/>
  <c r="K473" i="20"/>
  <c r="J479" i="20"/>
  <c r="AA30" i="33"/>
  <c r="AE5" i="33"/>
  <c r="T16" i="33"/>
  <c r="Z30" i="33"/>
  <c r="T30" i="33"/>
  <c r="AD5" i="33"/>
  <c r="U5" i="33"/>
  <c r="S207" i="34"/>
  <c r="Z10" i="33"/>
  <c r="Z28" i="33" s="1"/>
  <c r="M92" i="2"/>
  <c r="U16" i="33" l="1"/>
  <c r="U28" i="33"/>
  <c r="Z16" i="33"/>
  <c r="L473" i="20"/>
  <c r="K479" i="20"/>
  <c r="AA10" i="33"/>
  <c r="U30" i="33"/>
  <c r="V5" i="33"/>
  <c r="AA12" i="33" l="1"/>
  <c r="AA28" i="33"/>
  <c r="V28" i="33"/>
  <c r="AA16" i="33"/>
  <c r="M473" i="20"/>
  <c r="L479" i="20"/>
  <c r="V30" i="33"/>
  <c r="B30" i="33" s="1"/>
  <c r="C30" i="33" s="1"/>
  <c r="V16" i="33"/>
  <c r="AF5" i="33"/>
  <c r="AE16" i="33" l="1"/>
  <c r="AD16" i="33"/>
  <c r="B28" i="33"/>
  <c r="N473" i="20"/>
  <c r="N479" i="20" s="1"/>
  <c r="M479" i="20"/>
  <c r="H68" i="10"/>
  <c r="C28" i="33" l="1"/>
  <c r="R30" i="28" l="1"/>
  <c r="G155" i="28"/>
  <c r="I370" i="28" l="1"/>
  <c r="I373" i="28" s="1"/>
  <c r="J370" i="28"/>
  <c r="K370" i="28"/>
  <c r="L370" i="28"/>
  <c r="M370" i="28"/>
  <c r="M373" i="28" s="1"/>
  <c r="N370" i="28"/>
  <c r="N373" i="28" s="1"/>
  <c r="O370" i="28"/>
  <c r="O373" i="28" s="1"/>
  <c r="P370" i="28"/>
  <c r="P373" i="28" s="1"/>
  <c r="Q370" i="28"/>
  <c r="Q373" i="28" s="1"/>
  <c r="R370" i="28"/>
  <c r="S370" i="28"/>
  <c r="H370" i="28"/>
  <c r="H373" i="28" s="1"/>
  <c r="L373" i="28" l="1"/>
  <c r="J373" i="28"/>
  <c r="J376" i="28"/>
  <c r="J377" i="28" s="1"/>
  <c r="K376" i="28"/>
  <c r="L376" i="28"/>
  <c r="L377" i="28" s="1"/>
  <c r="M376" i="28"/>
  <c r="M377" i="28" s="1"/>
  <c r="K373" i="28"/>
  <c r="K377" i="28"/>
  <c r="I381" i="28"/>
  <c r="T376" i="28"/>
  <c r="T377" i="28" s="1"/>
  <c r="H381" i="28"/>
  <c r="S373" i="28"/>
  <c r="S376" i="28"/>
  <c r="S377" i="28" s="1"/>
  <c r="O376" i="28"/>
  <c r="O377" i="28" s="1"/>
  <c r="R376" i="28"/>
  <c r="R377" i="28" s="1"/>
  <c r="Q376" i="28"/>
  <c r="Q377" i="28" s="1"/>
  <c r="N376" i="28"/>
  <c r="N377" i="28" s="1"/>
  <c r="P376" i="28"/>
  <c r="P377" i="28" s="1"/>
  <c r="G381" i="28"/>
  <c r="L381" i="28"/>
  <c r="R373" i="28"/>
  <c r="J381" i="28" s="1"/>
  <c r="K381" i="28" l="1"/>
  <c r="Q7" i="5"/>
  <c r="Q51" i="5" l="1"/>
  <c r="I206" i="20"/>
  <c r="I207" i="20" s="1"/>
  <c r="I79" i="20"/>
  <c r="E22" i="5" s="1"/>
  <c r="E12" i="5"/>
  <c r="R168" i="20"/>
  <c r="R198" i="20" s="1"/>
  <c r="K168" i="20"/>
  <c r="J168" i="20"/>
  <c r="I168" i="20"/>
  <c r="I198" i="20" s="1"/>
  <c r="O148" i="28"/>
  <c r="M129" i="28"/>
  <c r="M355" i="28" s="1"/>
  <c r="M335" i="28"/>
  <c r="M336" i="28"/>
  <c r="M330" i="28"/>
  <c r="M331" i="28"/>
  <c r="M325" i="28"/>
  <c r="M326" i="28"/>
  <c r="M334" i="28"/>
  <c r="M329" i="28"/>
  <c r="M324" i="28"/>
  <c r="M320" i="28"/>
  <c r="M321" i="28"/>
  <c r="M315" i="28"/>
  <c r="M316" i="28"/>
  <c r="N150" i="20"/>
  <c r="O6" i="33" l="1"/>
  <c r="V51" i="5"/>
  <c r="E56" i="5"/>
  <c r="S92" i="2"/>
  <c r="I60" i="2"/>
  <c r="F21" i="5" s="1"/>
  <c r="J60" i="2"/>
  <c r="G21" i="5" s="1"/>
  <c r="K60" i="2"/>
  <c r="H21" i="5" s="1"/>
  <c r="L60" i="2"/>
  <c r="I21" i="5" s="1"/>
  <c r="M60" i="2"/>
  <c r="J21" i="5" s="1"/>
  <c r="N60" i="2"/>
  <c r="K21" i="5" s="1"/>
  <c r="O60" i="2"/>
  <c r="L21" i="5" s="1"/>
  <c r="P60" i="2"/>
  <c r="M21" i="5" s="1"/>
  <c r="Q60" i="2"/>
  <c r="N21" i="5" s="1"/>
  <c r="R60" i="2"/>
  <c r="O21" i="5" s="1"/>
  <c r="S60" i="2"/>
  <c r="P21" i="5" s="1"/>
  <c r="T60" i="2"/>
  <c r="Q21" i="5" s="1"/>
  <c r="H60" i="2"/>
  <c r="T65" i="12"/>
  <c r="C11" i="33" l="1"/>
  <c r="T56" i="5"/>
  <c r="E21" i="5"/>
  <c r="H61" i="2"/>
  <c r="D70" i="12"/>
  <c r="T92" i="2"/>
  <c r="E65" i="5"/>
  <c r="E68" i="5" s="1"/>
  <c r="F65" i="5"/>
  <c r="F68" i="5" s="1"/>
  <c r="G65" i="5"/>
  <c r="G68" i="5" s="1"/>
  <c r="H65" i="5"/>
  <c r="H68" i="5" s="1"/>
  <c r="I65" i="5"/>
  <c r="I68" i="5" s="1"/>
  <c r="J65" i="5"/>
  <c r="J68" i="5" s="1"/>
  <c r="K65" i="5"/>
  <c r="K68" i="5" s="1"/>
  <c r="L65" i="5"/>
  <c r="L68" i="5" s="1"/>
  <c r="M65" i="5"/>
  <c r="M68" i="5" s="1"/>
  <c r="N65" i="5"/>
  <c r="N68" i="5" s="1"/>
  <c r="O65" i="5"/>
  <c r="O68" i="5" s="1"/>
  <c r="P65" i="5"/>
  <c r="P68" i="5" s="1"/>
  <c r="Q65" i="5"/>
  <c r="Q68" i="5" s="1"/>
  <c r="T68" i="5" l="1"/>
  <c r="V68" i="5"/>
  <c r="H64" i="2"/>
  <c r="U92" i="2"/>
  <c r="U68" i="5" l="1"/>
  <c r="V92" i="2"/>
  <c r="W92" i="2" l="1"/>
  <c r="O44" i="10"/>
  <c r="N44" i="10"/>
  <c r="M44" i="10"/>
  <c r="T40" i="10"/>
  <c r="S40" i="10"/>
  <c r="R40" i="10"/>
  <c r="Q40" i="10"/>
  <c r="P40" i="10"/>
  <c r="O40" i="10"/>
  <c r="N40" i="10"/>
  <c r="M40" i="10"/>
  <c r="L40" i="10"/>
  <c r="K40" i="10"/>
  <c r="J40" i="10"/>
  <c r="I40" i="10"/>
  <c r="T30" i="10"/>
  <c r="I68" i="10"/>
  <c r="I69" i="10" s="1"/>
  <c r="J68" i="10"/>
  <c r="K68" i="10"/>
  <c r="L68" i="10"/>
  <c r="L85" i="10" s="1"/>
  <c r="M68" i="10"/>
  <c r="N68" i="10"/>
  <c r="O68" i="10"/>
  <c r="O69" i="10" s="1"/>
  <c r="P68" i="10"/>
  <c r="Q68" i="10"/>
  <c r="R68" i="10"/>
  <c r="S68" i="10"/>
  <c r="X92" i="2" l="1"/>
  <c r="Q28" i="5"/>
  <c r="T69" i="10"/>
  <c r="I28" i="5"/>
  <c r="L69" i="10"/>
  <c r="L28" i="5"/>
  <c r="O28" i="5"/>
  <c r="R69" i="10"/>
  <c r="K28" i="5"/>
  <c r="N69" i="10"/>
  <c r="G28" i="5"/>
  <c r="J69" i="10"/>
  <c r="M28" i="5"/>
  <c r="P69" i="10"/>
  <c r="P28" i="5"/>
  <c r="S69" i="10"/>
  <c r="H28" i="5"/>
  <c r="K69" i="10"/>
  <c r="E28" i="5"/>
  <c r="H69" i="10"/>
  <c r="H85" i="10"/>
  <c r="N28" i="5"/>
  <c r="Q69" i="10"/>
  <c r="J28" i="5"/>
  <c r="M69" i="10"/>
  <c r="F28" i="5"/>
  <c r="R85" i="10"/>
  <c r="N85" i="10"/>
  <c r="P85" i="10"/>
  <c r="I91" i="10" s="1"/>
  <c r="I97" i="10" s="1"/>
  <c r="T85" i="10"/>
  <c r="S85" i="10"/>
  <c r="O85" i="10"/>
  <c r="H91" i="10" s="1"/>
  <c r="H97" i="10" s="1"/>
  <c r="K85" i="10"/>
  <c r="J85" i="10"/>
  <c r="Q85" i="10"/>
  <c r="M85" i="10"/>
  <c r="I85" i="10"/>
  <c r="Y92" i="2" l="1"/>
  <c r="J97" i="10"/>
  <c r="S105" i="10" s="1"/>
  <c r="S106" i="10" s="1"/>
  <c r="I98" i="10"/>
  <c r="H98" i="10"/>
  <c r="H86" i="10"/>
  <c r="Z92" i="2" l="1"/>
  <c r="K105" i="10"/>
  <c r="K106" i="10" s="1"/>
  <c r="H12" i="5" s="1"/>
  <c r="O105" i="10"/>
  <c r="O106" i="10" s="1"/>
  <c r="L12" i="5" s="1"/>
  <c r="P12" i="5"/>
  <c r="M105" i="10"/>
  <c r="M106" i="10" s="1"/>
  <c r="J12" i="5" s="1"/>
  <c r="Q105" i="10"/>
  <c r="Q106" i="10" s="1"/>
  <c r="N12" i="5" s="1"/>
  <c r="I105" i="10"/>
  <c r="I106" i="10" s="1"/>
  <c r="N105" i="10"/>
  <c r="N106" i="10" s="1"/>
  <c r="L105" i="10"/>
  <c r="L106" i="10" s="1"/>
  <c r="I12" i="5" s="1"/>
  <c r="P105" i="10"/>
  <c r="P106" i="10" s="1"/>
  <c r="M12" i="5" s="1"/>
  <c r="T105" i="10"/>
  <c r="T106" i="10" s="1"/>
  <c r="Q12" i="5" s="1"/>
  <c r="J105" i="10"/>
  <c r="J106" i="10" s="1"/>
  <c r="G12" i="5" s="1"/>
  <c r="R105" i="10"/>
  <c r="R106" i="10" s="1"/>
  <c r="O12" i="5" s="1"/>
  <c r="J98" i="10"/>
  <c r="M56" i="5" l="1"/>
  <c r="K11" i="33" s="1"/>
  <c r="I56" i="5"/>
  <c r="G11" i="33" s="1"/>
  <c r="N56" i="5"/>
  <c r="L11" i="33" s="1"/>
  <c r="J56" i="5"/>
  <c r="H11" i="33" s="1"/>
  <c r="P56" i="5"/>
  <c r="N11" i="33" s="1"/>
  <c r="L56" i="5"/>
  <c r="J11" i="33" s="1"/>
  <c r="H56" i="5"/>
  <c r="F11" i="33" s="1"/>
  <c r="AC11" i="33" s="1"/>
  <c r="O56" i="5"/>
  <c r="M11" i="33" s="1"/>
  <c r="G56" i="5"/>
  <c r="E11" i="33" s="1"/>
  <c r="Q56" i="5"/>
  <c r="AA92" i="2"/>
  <c r="H109" i="10"/>
  <c r="H110" i="10"/>
  <c r="H111" i="10"/>
  <c r="K12" i="5"/>
  <c r="F12" i="5"/>
  <c r="T12" i="5"/>
  <c r="O11" i="33" l="1"/>
  <c r="V56" i="5"/>
  <c r="F56" i="5"/>
  <c r="D11" i="33" s="1"/>
  <c r="U12" i="5"/>
  <c r="K56" i="5"/>
  <c r="AB92" i="2"/>
  <c r="F26" i="5"/>
  <c r="G26" i="5"/>
  <c r="H26" i="5"/>
  <c r="I26" i="5"/>
  <c r="J26" i="5"/>
  <c r="K26" i="5"/>
  <c r="L26" i="5"/>
  <c r="M26" i="5"/>
  <c r="N26" i="5"/>
  <c r="O26" i="5"/>
  <c r="P26" i="5"/>
  <c r="Q26" i="5"/>
  <c r="E26" i="5"/>
  <c r="I83" i="7"/>
  <c r="J83" i="7"/>
  <c r="K83" i="7"/>
  <c r="L83" i="7"/>
  <c r="M83" i="7"/>
  <c r="N83" i="7"/>
  <c r="O83" i="7"/>
  <c r="P83" i="7"/>
  <c r="Q83" i="7"/>
  <c r="R83" i="7"/>
  <c r="S83" i="7"/>
  <c r="T83" i="7"/>
  <c r="U83" i="7"/>
  <c r="V83" i="7"/>
  <c r="I82" i="7"/>
  <c r="J82" i="7"/>
  <c r="K82" i="7"/>
  <c r="L82" i="7"/>
  <c r="M82" i="7"/>
  <c r="N82" i="7"/>
  <c r="O82" i="7"/>
  <c r="P82" i="7"/>
  <c r="Q82" i="7"/>
  <c r="R82" i="7"/>
  <c r="S82" i="7"/>
  <c r="T82" i="7"/>
  <c r="U82" i="7"/>
  <c r="V82" i="7"/>
  <c r="H83" i="7"/>
  <c r="H82" i="7"/>
  <c r="I11" i="33" l="1"/>
  <c r="U56" i="5"/>
  <c r="R84" i="7"/>
  <c r="O25" i="5" s="1"/>
  <c r="V84" i="7"/>
  <c r="AC92" i="2"/>
  <c r="N84" i="7"/>
  <c r="K25" i="5" s="1"/>
  <c r="J84" i="7"/>
  <c r="G25" i="5" s="1"/>
  <c r="L84" i="7"/>
  <c r="I25" i="5" s="1"/>
  <c r="T84" i="7"/>
  <c r="Q25" i="5" s="1"/>
  <c r="U84" i="7"/>
  <c r="R25" i="5" s="1"/>
  <c r="Q84" i="7"/>
  <c r="N25" i="5" s="1"/>
  <c r="M84" i="7"/>
  <c r="J25" i="5" s="1"/>
  <c r="I84" i="7"/>
  <c r="F25" i="5" s="1"/>
  <c r="H84" i="7"/>
  <c r="E25" i="5" s="1"/>
  <c r="P84" i="7"/>
  <c r="M25" i="5" s="1"/>
  <c r="S84" i="7"/>
  <c r="P25" i="5" s="1"/>
  <c r="O84" i="7"/>
  <c r="L25" i="5" s="1"/>
  <c r="K84" i="7"/>
  <c r="H25" i="5" s="1"/>
  <c r="AD92" i="2" l="1"/>
  <c r="I30" i="4"/>
  <c r="F24" i="5" s="1"/>
  <c r="J30" i="4"/>
  <c r="G24" i="5" s="1"/>
  <c r="K30" i="4"/>
  <c r="H24" i="5" s="1"/>
  <c r="L30" i="4"/>
  <c r="I24" i="5" s="1"/>
  <c r="M30" i="4"/>
  <c r="J24" i="5" s="1"/>
  <c r="N30" i="4"/>
  <c r="K24" i="5" s="1"/>
  <c r="O30" i="4"/>
  <c r="L24" i="5" s="1"/>
  <c r="P30" i="4"/>
  <c r="M24" i="5" s="1"/>
  <c r="Q30" i="4"/>
  <c r="N24" i="5" s="1"/>
  <c r="R30" i="4"/>
  <c r="O24" i="5" s="1"/>
  <c r="S30" i="4"/>
  <c r="P24" i="5" s="1"/>
  <c r="T30" i="4"/>
  <c r="Q24" i="5" s="1"/>
  <c r="U30" i="4"/>
  <c r="R24" i="5" s="1"/>
  <c r="V30" i="4"/>
  <c r="H30" i="4"/>
  <c r="E24" i="5" s="1"/>
  <c r="I56" i="3"/>
  <c r="F23" i="5" s="1"/>
  <c r="J56" i="3"/>
  <c r="G23" i="5" s="1"/>
  <c r="K56" i="3"/>
  <c r="H23" i="5" s="1"/>
  <c r="L56" i="3"/>
  <c r="I23" i="5" s="1"/>
  <c r="M56" i="3"/>
  <c r="J23" i="5" s="1"/>
  <c r="N56" i="3"/>
  <c r="K23" i="5" s="1"/>
  <c r="O56" i="3"/>
  <c r="L23" i="5" s="1"/>
  <c r="P56" i="3"/>
  <c r="M23" i="5" s="1"/>
  <c r="Q56" i="3"/>
  <c r="N23" i="5" s="1"/>
  <c r="R56" i="3"/>
  <c r="O23" i="5" s="1"/>
  <c r="S56" i="3"/>
  <c r="P23" i="5" s="1"/>
  <c r="T56" i="3"/>
  <c r="Q23" i="5" s="1"/>
  <c r="U56" i="3"/>
  <c r="R23" i="5" s="1"/>
  <c r="V56" i="3"/>
  <c r="H56" i="3"/>
  <c r="E23" i="5" s="1"/>
  <c r="F20" i="5"/>
  <c r="G20" i="5"/>
  <c r="H20" i="5"/>
  <c r="I20" i="5"/>
  <c r="J20" i="5"/>
  <c r="K20" i="5"/>
  <c r="L20" i="5"/>
  <c r="M20" i="5"/>
  <c r="N20" i="5"/>
  <c r="O20" i="5"/>
  <c r="P20" i="5"/>
  <c r="Q20" i="5"/>
  <c r="E20" i="5"/>
  <c r="F8" i="5"/>
  <c r="G8" i="5"/>
  <c r="H8" i="5"/>
  <c r="I8" i="5"/>
  <c r="J8" i="5"/>
  <c r="K8" i="5"/>
  <c r="L8" i="5"/>
  <c r="M8" i="5"/>
  <c r="N8" i="5"/>
  <c r="O8" i="5"/>
  <c r="P8" i="5"/>
  <c r="Q8" i="5"/>
  <c r="E8" i="5"/>
  <c r="F7" i="5"/>
  <c r="G7" i="5"/>
  <c r="H7" i="5"/>
  <c r="I7" i="5"/>
  <c r="J7" i="5"/>
  <c r="K7" i="5"/>
  <c r="L7" i="5"/>
  <c r="M7" i="5"/>
  <c r="N7" i="5"/>
  <c r="O7" i="5"/>
  <c r="P7" i="5"/>
  <c r="E7" i="5"/>
  <c r="R65" i="12"/>
  <c r="S65" i="12"/>
  <c r="T7" i="5" l="1"/>
  <c r="E51" i="5"/>
  <c r="C6" i="33" s="1"/>
  <c r="K52" i="5"/>
  <c r="U52" i="5" s="1"/>
  <c r="N52" i="5"/>
  <c r="L7" i="33" s="1"/>
  <c r="L52" i="5"/>
  <c r="J7" i="33" s="1"/>
  <c r="J52" i="5"/>
  <c r="H7" i="33" s="1"/>
  <c r="E52" i="5"/>
  <c r="C7" i="33" s="1"/>
  <c r="F52" i="5"/>
  <c r="D7" i="33" s="1"/>
  <c r="H52" i="5"/>
  <c r="T52" i="5" s="1"/>
  <c r="T8" i="5"/>
  <c r="P51" i="5"/>
  <c r="H51" i="5"/>
  <c r="M52" i="5"/>
  <c r="O51" i="5"/>
  <c r="P52" i="5"/>
  <c r="N51" i="5"/>
  <c r="J51" i="5"/>
  <c r="F51" i="5"/>
  <c r="D6" i="33" s="1"/>
  <c r="O52" i="5"/>
  <c r="G52" i="5"/>
  <c r="E7" i="33" s="1"/>
  <c r="L51" i="5"/>
  <c r="Q52" i="5"/>
  <c r="I52" i="5"/>
  <c r="E48" i="5"/>
  <c r="U7" i="5"/>
  <c r="K51" i="5"/>
  <c r="G51" i="5"/>
  <c r="E6" i="33" s="1"/>
  <c r="M51" i="5"/>
  <c r="I51" i="5"/>
  <c r="U8" i="5"/>
  <c r="AE92" i="2"/>
  <c r="I7" i="33" l="1"/>
  <c r="F7" i="33"/>
  <c r="AC7" i="33" s="1"/>
  <c r="G7" i="33"/>
  <c r="N7" i="33"/>
  <c r="M7" i="33"/>
  <c r="K7" i="33"/>
  <c r="G6" i="33"/>
  <c r="L6" i="33"/>
  <c r="N6" i="33"/>
  <c r="M6" i="33"/>
  <c r="H6" i="33"/>
  <c r="K6" i="33"/>
  <c r="J6" i="33"/>
  <c r="F6" i="33"/>
  <c r="T51" i="5"/>
  <c r="C4" i="33"/>
  <c r="I6" i="33"/>
  <c r="U51" i="5"/>
  <c r="O7" i="33"/>
  <c r="V52" i="5"/>
  <c r="AG92" i="2"/>
  <c r="AF92" i="2"/>
  <c r="AC6" i="33" l="1"/>
  <c r="R16" i="5" l="1"/>
  <c r="H36" i="7" l="1"/>
  <c r="V36" i="7"/>
  <c r="U36" i="7"/>
  <c r="T36" i="7"/>
  <c r="S36" i="7"/>
  <c r="R36" i="7"/>
  <c r="Q36" i="7"/>
  <c r="P36" i="7"/>
  <c r="O36" i="7"/>
  <c r="N36" i="7"/>
  <c r="M36" i="7"/>
  <c r="L36" i="7"/>
  <c r="K36" i="7"/>
  <c r="J36" i="7"/>
  <c r="I36" i="7"/>
  <c r="H74" i="7"/>
  <c r="H73" i="7"/>
  <c r="H49" i="4"/>
  <c r="H50" i="4"/>
  <c r="H75" i="7" l="1"/>
  <c r="H76" i="7"/>
  <c r="U70" i="7"/>
  <c r="V70" i="7"/>
  <c r="I38" i="4"/>
  <c r="J38" i="4"/>
  <c r="K38" i="4"/>
  <c r="L38" i="4"/>
  <c r="M38" i="4"/>
  <c r="N38" i="4"/>
  <c r="O38" i="4"/>
  <c r="P38" i="4"/>
  <c r="Q38" i="4"/>
  <c r="R38" i="4"/>
  <c r="S38" i="4"/>
  <c r="T38" i="4"/>
  <c r="U38" i="4"/>
  <c r="V38" i="4"/>
  <c r="H38" i="4"/>
  <c r="I35" i="3"/>
  <c r="J35" i="3"/>
  <c r="K35" i="3"/>
  <c r="L35" i="3"/>
  <c r="M35" i="3"/>
  <c r="N35" i="3"/>
  <c r="O35" i="3"/>
  <c r="P35" i="3"/>
  <c r="Q35" i="3"/>
  <c r="R35" i="3"/>
  <c r="S35" i="3"/>
  <c r="T35" i="3"/>
  <c r="U35" i="3"/>
  <c r="V35" i="3"/>
  <c r="H35" i="3"/>
  <c r="H39" i="3" s="1"/>
  <c r="H40" i="3" l="1"/>
  <c r="H38" i="3"/>
  <c r="R9" i="5"/>
  <c r="H41" i="3"/>
  <c r="H44" i="4"/>
  <c r="R53" i="5" l="1"/>
  <c r="P8" i="33" s="1"/>
  <c r="R15" i="5"/>
  <c r="U34" i="3"/>
  <c r="V34" i="3"/>
  <c r="T34" i="3"/>
  <c r="P15" i="33" l="1"/>
  <c r="P12" i="33"/>
  <c r="P24" i="33" l="1"/>
  <c r="Q24" i="33" s="1"/>
  <c r="P389" i="28"/>
  <c r="N389" i="28"/>
  <c r="L389" i="28"/>
  <c r="S303" i="28"/>
  <c r="R303" i="28"/>
  <c r="Q303" i="28"/>
  <c r="P303" i="28"/>
  <c r="O303" i="28"/>
  <c r="N303" i="28"/>
  <c r="M303" i="28"/>
  <c r="L303" i="28"/>
  <c r="K303" i="28"/>
  <c r="J303" i="28"/>
  <c r="I303" i="28"/>
  <c r="H303" i="28"/>
  <c r="G303" i="28"/>
  <c r="H243" i="28"/>
  <c r="I243" i="28"/>
  <c r="J243" i="28"/>
  <c r="K243" i="28"/>
  <c r="L243" i="28"/>
  <c r="M243" i="28"/>
  <c r="N243" i="28"/>
  <c r="O243" i="28"/>
  <c r="P243" i="28"/>
  <c r="Q243" i="28"/>
  <c r="R243" i="28"/>
  <c r="S243" i="28"/>
  <c r="H242" i="28"/>
  <c r="I242" i="28"/>
  <c r="J242" i="28"/>
  <c r="K242" i="28"/>
  <c r="L242" i="28"/>
  <c r="M242" i="28"/>
  <c r="N242" i="28"/>
  <c r="O242" i="28"/>
  <c r="P242" i="28"/>
  <c r="Q242" i="28"/>
  <c r="R242" i="28"/>
  <c r="S242" i="28"/>
  <c r="H241" i="28"/>
  <c r="I241" i="28"/>
  <c r="J241" i="28"/>
  <c r="K241" i="28"/>
  <c r="L241" i="28"/>
  <c r="M241" i="28"/>
  <c r="N241" i="28"/>
  <c r="O241" i="28"/>
  <c r="P241" i="28"/>
  <c r="Q241" i="28"/>
  <c r="R241" i="28"/>
  <c r="S241" i="28"/>
  <c r="H240" i="28"/>
  <c r="I240" i="28"/>
  <c r="J240" i="28"/>
  <c r="K240" i="28"/>
  <c r="L240" i="28"/>
  <c r="M240" i="28"/>
  <c r="N240" i="28"/>
  <c r="O240" i="28"/>
  <c r="P240" i="28"/>
  <c r="Q240" i="28"/>
  <c r="R240" i="28"/>
  <c r="S240" i="28"/>
  <c r="H239" i="28"/>
  <c r="I239" i="28"/>
  <c r="J239" i="28"/>
  <c r="K239" i="28"/>
  <c r="L239" i="28"/>
  <c r="M239" i="28"/>
  <c r="N239" i="28"/>
  <c r="O239" i="28"/>
  <c r="P239" i="28"/>
  <c r="Q239" i="28"/>
  <c r="R239" i="28"/>
  <c r="S239" i="28"/>
  <c r="H238" i="28"/>
  <c r="I238" i="28"/>
  <c r="J238" i="28"/>
  <c r="K238" i="28"/>
  <c r="L238" i="28"/>
  <c r="M238" i="28"/>
  <c r="N238" i="28"/>
  <c r="O238" i="28"/>
  <c r="P238" i="28"/>
  <c r="Q238" i="28"/>
  <c r="R238" i="28"/>
  <c r="S238" i="28"/>
  <c r="H237" i="28"/>
  <c r="I237" i="28"/>
  <c r="J237" i="28"/>
  <c r="K237" i="28"/>
  <c r="L237" i="28"/>
  <c r="M237" i="28"/>
  <c r="N237" i="28"/>
  <c r="O237" i="28"/>
  <c r="P237" i="28"/>
  <c r="Q237" i="28"/>
  <c r="R237" i="28"/>
  <c r="S237" i="28"/>
  <c r="G237" i="28"/>
  <c r="G238" i="28"/>
  <c r="G239" i="28"/>
  <c r="G240" i="28"/>
  <c r="G242" i="28"/>
  <c r="G243" i="28"/>
  <c r="H236" i="28"/>
  <c r="I236" i="28"/>
  <c r="J236" i="28"/>
  <c r="K236" i="28"/>
  <c r="L236" i="28"/>
  <c r="M236" i="28"/>
  <c r="N236" i="28"/>
  <c r="O236" i="28"/>
  <c r="P236" i="28"/>
  <c r="Q236" i="28"/>
  <c r="R236" i="28"/>
  <c r="S236" i="28"/>
  <c r="G236" i="28"/>
  <c r="H131" i="28"/>
  <c r="I131" i="28"/>
  <c r="J131" i="28"/>
  <c r="K131" i="28"/>
  <c r="L131" i="28"/>
  <c r="M131" i="28"/>
  <c r="N131" i="28"/>
  <c r="O131" i="28"/>
  <c r="P131" i="28"/>
  <c r="Q131" i="28"/>
  <c r="R131" i="28"/>
  <c r="S131" i="28"/>
  <c r="H130" i="28"/>
  <c r="I130" i="28"/>
  <c r="J130" i="28"/>
  <c r="D388" i="28" s="1"/>
  <c r="K130" i="28"/>
  <c r="L130" i="28"/>
  <c r="M130" i="28"/>
  <c r="N130" i="28"/>
  <c r="O130" i="28"/>
  <c r="P130" i="28"/>
  <c r="Q130" i="28"/>
  <c r="R130" i="28"/>
  <c r="S130" i="28"/>
  <c r="H129" i="28"/>
  <c r="I129" i="28"/>
  <c r="J129" i="28"/>
  <c r="K129" i="28"/>
  <c r="K355" i="28" s="1"/>
  <c r="L129" i="28"/>
  <c r="L355" i="28" s="1"/>
  <c r="N129" i="28"/>
  <c r="O129" i="28"/>
  <c r="P129" i="28"/>
  <c r="Q129" i="28"/>
  <c r="R129" i="28"/>
  <c r="S129" i="28"/>
  <c r="H128" i="28"/>
  <c r="I128" i="28"/>
  <c r="J128" i="28"/>
  <c r="K128" i="28"/>
  <c r="L128" i="28"/>
  <c r="M128" i="28"/>
  <c r="N128" i="28"/>
  <c r="O128" i="28"/>
  <c r="P128" i="28"/>
  <c r="Q128" i="28"/>
  <c r="R128" i="28"/>
  <c r="S128" i="28"/>
  <c r="G128" i="28"/>
  <c r="G129" i="28"/>
  <c r="G130" i="28"/>
  <c r="G131" i="28"/>
  <c r="H127" i="28"/>
  <c r="I127" i="28"/>
  <c r="J127" i="28"/>
  <c r="K127" i="28"/>
  <c r="L127" i="28"/>
  <c r="M127" i="28"/>
  <c r="N127" i="28"/>
  <c r="O127" i="28"/>
  <c r="P127" i="28"/>
  <c r="Q127" i="28"/>
  <c r="R127" i="28"/>
  <c r="S127" i="28"/>
  <c r="H297" i="28"/>
  <c r="I297" i="28"/>
  <c r="J297" i="28"/>
  <c r="K297" i="28"/>
  <c r="L297" i="28"/>
  <c r="M297" i="28"/>
  <c r="N297" i="28"/>
  <c r="O297" i="28"/>
  <c r="P297" i="28"/>
  <c r="Q297" i="28"/>
  <c r="R297" i="28"/>
  <c r="S297" i="28"/>
  <c r="H296" i="28"/>
  <c r="I296" i="28"/>
  <c r="J296" i="28"/>
  <c r="K296" i="28"/>
  <c r="L296" i="28"/>
  <c r="M296" i="28"/>
  <c r="N296" i="28"/>
  <c r="O296" i="28"/>
  <c r="P296" i="28"/>
  <c r="Q296" i="28"/>
  <c r="R296" i="28"/>
  <c r="S296" i="28"/>
  <c r="H287" i="28"/>
  <c r="I287" i="28"/>
  <c r="J287" i="28"/>
  <c r="K287" i="28"/>
  <c r="L287" i="28"/>
  <c r="M287" i="28"/>
  <c r="N287" i="28"/>
  <c r="O287" i="28"/>
  <c r="P287" i="28"/>
  <c r="Q287" i="28"/>
  <c r="R287" i="28"/>
  <c r="S287" i="28"/>
  <c r="H286" i="28"/>
  <c r="I286" i="28"/>
  <c r="J286" i="28"/>
  <c r="K286" i="28"/>
  <c r="L286" i="28"/>
  <c r="M286" i="28"/>
  <c r="N286" i="28"/>
  <c r="O286" i="28"/>
  <c r="P286" i="28"/>
  <c r="Q286" i="28"/>
  <c r="R286" i="28"/>
  <c r="S286" i="28"/>
  <c r="H277" i="28"/>
  <c r="I277" i="28"/>
  <c r="J277" i="28"/>
  <c r="K277" i="28"/>
  <c r="L277" i="28"/>
  <c r="M277" i="28"/>
  <c r="N277" i="28"/>
  <c r="O277" i="28"/>
  <c r="P277" i="28"/>
  <c r="Q277" i="28"/>
  <c r="R277" i="28"/>
  <c r="S277" i="28"/>
  <c r="H276" i="28"/>
  <c r="I276" i="28"/>
  <c r="J276" i="28"/>
  <c r="K276" i="28"/>
  <c r="L276" i="28"/>
  <c r="M276" i="28"/>
  <c r="N276" i="28"/>
  <c r="O276" i="28"/>
  <c r="P276" i="28"/>
  <c r="Q276" i="28"/>
  <c r="R276" i="28"/>
  <c r="S276" i="28"/>
  <c r="H267" i="28"/>
  <c r="I267" i="28"/>
  <c r="J267" i="28"/>
  <c r="K267" i="28"/>
  <c r="L267" i="28"/>
  <c r="M267" i="28"/>
  <c r="N267" i="28"/>
  <c r="O267" i="28"/>
  <c r="P267" i="28"/>
  <c r="Q267" i="28"/>
  <c r="R267" i="28"/>
  <c r="S267" i="28"/>
  <c r="H266" i="28"/>
  <c r="I266" i="28"/>
  <c r="J266" i="28"/>
  <c r="K266" i="28"/>
  <c r="L266" i="28"/>
  <c r="M266" i="28"/>
  <c r="N266" i="28"/>
  <c r="O266" i="28"/>
  <c r="P266" i="28"/>
  <c r="Q266" i="28"/>
  <c r="R266" i="28"/>
  <c r="S266" i="28"/>
  <c r="H257" i="28"/>
  <c r="I257" i="28"/>
  <c r="J257" i="28"/>
  <c r="K257" i="28"/>
  <c r="L257" i="28"/>
  <c r="M257" i="28"/>
  <c r="N257" i="28"/>
  <c r="O257" i="28"/>
  <c r="P257" i="28"/>
  <c r="Q257" i="28"/>
  <c r="R257" i="28"/>
  <c r="S257" i="28"/>
  <c r="H256" i="28"/>
  <c r="I256" i="28"/>
  <c r="J256" i="28"/>
  <c r="K256" i="28"/>
  <c r="L256" i="28"/>
  <c r="M256" i="28"/>
  <c r="N256" i="28"/>
  <c r="O256" i="28"/>
  <c r="P256" i="28"/>
  <c r="Q256" i="28"/>
  <c r="R256" i="28"/>
  <c r="S256" i="28"/>
  <c r="G297" i="28"/>
  <c r="G296" i="28"/>
  <c r="G287" i="28"/>
  <c r="G286" i="28"/>
  <c r="G277" i="28"/>
  <c r="G276" i="28"/>
  <c r="G267" i="28"/>
  <c r="G266" i="28"/>
  <c r="G257" i="28"/>
  <c r="G256" i="28"/>
  <c r="G255" i="28"/>
  <c r="H255" i="28"/>
  <c r="I255" i="28"/>
  <c r="J255" i="28"/>
  <c r="K255" i="28"/>
  <c r="L255" i="28"/>
  <c r="M255" i="28"/>
  <c r="N255" i="28"/>
  <c r="O255" i="28"/>
  <c r="P255" i="28"/>
  <c r="Q255" i="28"/>
  <c r="R255" i="28"/>
  <c r="S255" i="28"/>
  <c r="H275" i="28"/>
  <c r="I275" i="28"/>
  <c r="J275" i="28"/>
  <c r="K275" i="28"/>
  <c r="L275" i="28"/>
  <c r="M275" i="28"/>
  <c r="N275" i="28"/>
  <c r="O275" i="28"/>
  <c r="P275" i="28"/>
  <c r="Q275" i="28"/>
  <c r="R275" i="28"/>
  <c r="S275" i="28"/>
  <c r="H285" i="28"/>
  <c r="I285" i="28"/>
  <c r="J285" i="28"/>
  <c r="K285" i="28"/>
  <c r="L285" i="28"/>
  <c r="M285" i="28"/>
  <c r="N285" i="28"/>
  <c r="O285" i="28"/>
  <c r="P285" i="28"/>
  <c r="Q285" i="28"/>
  <c r="R285" i="28"/>
  <c r="S285" i="28"/>
  <c r="H295" i="28"/>
  <c r="I295" i="28"/>
  <c r="J295" i="28"/>
  <c r="K295" i="28"/>
  <c r="L295" i="28"/>
  <c r="M295" i="28"/>
  <c r="N295" i="28"/>
  <c r="O295" i="28"/>
  <c r="P295" i="28"/>
  <c r="Q295" i="28"/>
  <c r="R295" i="28"/>
  <c r="S295" i="28"/>
  <c r="G295" i="28"/>
  <c r="G285" i="28"/>
  <c r="G275" i="28"/>
  <c r="H265" i="28"/>
  <c r="I265" i="28"/>
  <c r="J265" i="28"/>
  <c r="K265" i="28"/>
  <c r="L265" i="28"/>
  <c r="M265" i="28"/>
  <c r="N265" i="28"/>
  <c r="O265" i="28"/>
  <c r="P265" i="28"/>
  <c r="Q265" i="28"/>
  <c r="R265" i="28"/>
  <c r="S265" i="28"/>
  <c r="G265" i="28"/>
  <c r="H274" i="28"/>
  <c r="I274" i="28"/>
  <c r="J274" i="28"/>
  <c r="K274" i="28"/>
  <c r="L274" i="28"/>
  <c r="M274" i="28"/>
  <c r="N274" i="28"/>
  <c r="O274" i="28"/>
  <c r="P274" i="28"/>
  <c r="Q274" i="28"/>
  <c r="R274" i="28"/>
  <c r="S274" i="28"/>
  <c r="H284" i="28"/>
  <c r="I284" i="28"/>
  <c r="J284" i="28"/>
  <c r="K284" i="28"/>
  <c r="L284" i="28"/>
  <c r="M284" i="28"/>
  <c r="N284" i="28"/>
  <c r="O284" i="28"/>
  <c r="P284" i="28"/>
  <c r="Q284" i="28"/>
  <c r="R284" i="28"/>
  <c r="S284" i="28"/>
  <c r="H294" i="28"/>
  <c r="I294" i="28"/>
  <c r="J294" i="28"/>
  <c r="K294" i="28"/>
  <c r="L294" i="28"/>
  <c r="M294" i="28"/>
  <c r="N294" i="28"/>
  <c r="O294" i="28"/>
  <c r="P294" i="28"/>
  <c r="Q294" i="28"/>
  <c r="R294" i="28"/>
  <c r="S294" i="28"/>
  <c r="G294" i="28"/>
  <c r="G284" i="28"/>
  <c r="G274" i="28"/>
  <c r="H264" i="28"/>
  <c r="I264" i="28"/>
  <c r="J264" i="28"/>
  <c r="K264" i="28"/>
  <c r="L264" i="28"/>
  <c r="M264" i="28"/>
  <c r="N264" i="28"/>
  <c r="O264" i="28"/>
  <c r="P264" i="28"/>
  <c r="Q264" i="28"/>
  <c r="R264" i="28"/>
  <c r="S264" i="28"/>
  <c r="G264" i="28"/>
  <c r="H254" i="28"/>
  <c r="I254" i="28"/>
  <c r="J254" i="28"/>
  <c r="K254" i="28"/>
  <c r="L254" i="28"/>
  <c r="M254" i="28"/>
  <c r="N254" i="28"/>
  <c r="O254" i="28"/>
  <c r="P254" i="28"/>
  <c r="Q254" i="28"/>
  <c r="R254" i="28"/>
  <c r="S254" i="28"/>
  <c r="G254" i="28"/>
  <c r="H291" i="28"/>
  <c r="I291" i="28"/>
  <c r="J291" i="28"/>
  <c r="K291" i="28"/>
  <c r="L291" i="28"/>
  <c r="M291" i="28"/>
  <c r="N291" i="28"/>
  <c r="O291" i="28"/>
  <c r="P291" i="28"/>
  <c r="Q291" i="28"/>
  <c r="R291" i="28"/>
  <c r="S291" i="28"/>
  <c r="H281" i="28"/>
  <c r="I281" i="28"/>
  <c r="J281" i="28"/>
  <c r="K281" i="28"/>
  <c r="L281" i="28"/>
  <c r="M281" i="28"/>
  <c r="N281" i="28"/>
  <c r="O281" i="28"/>
  <c r="P281" i="28"/>
  <c r="Q281" i="28"/>
  <c r="R281" i="28"/>
  <c r="S281" i="28"/>
  <c r="H271" i="28"/>
  <c r="I271" i="28"/>
  <c r="J271" i="28"/>
  <c r="K271" i="28"/>
  <c r="L271" i="28"/>
  <c r="M271" i="28"/>
  <c r="N271" i="28"/>
  <c r="O271" i="28"/>
  <c r="P271" i="28"/>
  <c r="Q271" i="28"/>
  <c r="R271" i="28"/>
  <c r="S271" i="28"/>
  <c r="H261" i="28"/>
  <c r="I261" i="28"/>
  <c r="J261" i="28"/>
  <c r="K261" i="28"/>
  <c r="L261" i="28"/>
  <c r="M261" i="28"/>
  <c r="N261" i="28"/>
  <c r="O261" i="28"/>
  <c r="P261" i="28"/>
  <c r="Q261" i="28"/>
  <c r="R261" i="28"/>
  <c r="S261" i="28"/>
  <c r="G291" i="28"/>
  <c r="G281" i="28"/>
  <c r="G271" i="28"/>
  <c r="G261" i="28"/>
  <c r="H251" i="28"/>
  <c r="I251" i="28"/>
  <c r="J251" i="28"/>
  <c r="K251" i="28"/>
  <c r="L251" i="28"/>
  <c r="M251" i="28"/>
  <c r="N251" i="28"/>
  <c r="O251" i="28"/>
  <c r="P251" i="28"/>
  <c r="Q251" i="28"/>
  <c r="R251" i="28"/>
  <c r="S251" i="28"/>
  <c r="G251" i="28"/>
  <c r="H171" i="28"/>
  <c r="I171" i="28"/>
  <c r="J171" i="28"/>
  <c r="K171" i="28"/>
  <c r="L171" i="28"/>
  <c r="M171" i="28"/>
  <c r="N171" i="28"/>
  <c r="O171" i="28"/>
  <c r="P171" i="28"/>
  <c r="Q171" i="28"/>
  <c r="R171" i="28"/>
  <c r="S171" i="28"/>
  <c r="S164" i="28"/>
  <c r="H164" i="28"/>
  <c r="I164" i="28"/>
  <c r="J164" i="28"/>
  <c r="K164" i="28"/>
  <c r="L164" i="28"/>
  <c r="M164" i="28"/>
  <c r="N164" i="28"/>
  <c r="O164" i="28"/>
  <c r="P164" i="28"/>
  <c r="Q164" i="28"/>
  <c r="R164" i="28"/>
  <c r="H157" i="28"/>
  <c r="I157" i="28"/>
  <c r="J157" i="28"/>
  <c r="K157" i="28"/>
  <c r="L157" i="28"/>
  <c r="M157" i="28"/>
  <c r="N157" i="28"/>
  <c r="O157" i="28"/>
  <c r="P157" i="28"/>
  <c r="Q157" i="28"/>
  <c r="R157" i="28"/>
  <c r="S157" i="28"/>
  <c r="H150" i="28"/>
  <c r="I150" i="28"/>
  <c r="J150" i="28"/>
  <c r="K150" i="28"/>
  <c r="L150" i="28"/>
  <c r="M150" i="28"/>
  <c r="N150" i="28"/>
  <c r="O150" i="28"/>
  <c r="P150" i="28"/>
  <c r="Q150" i="28"/>
  <c r="R150" i="28"/>
  <c r="S150" i="28"/>
  <c r="G171" i="28"/>
  <c r="G164" i="28"/>
  <c r="G157" i="28"/>
  <c r="G150" i="28"/>
  <c r="H143" i="28"/>
  <c r="I143" i="28"/>
  <c r="J143" i="28"/>
  <c r="K143" i="28"/>
  <c r="L143" i="28"/>
  <c r="M143" i="28"/>
  <c r="N143" i="28"/>
  <c r="O143" i="28"/>
  <c r="P143" i="28"/>
  <c r="Q143" i="28"/>
  <c r="R143" i="28"/>
  <c r="S143" i="28"/>
  <c r="G143" i="28"/>
  <c r="Q74" i="28"/>
  <c r="P74" i="28"/>
  <c r="O74" i="28"/>
  <c r="N74" i="28"/>
  <c r="M74" i="28"/>
  <c r="L74" i="28"/>
  <c r="K74" i="28"/>
  <c r="J74" i="28"/>
  <c r="I74" i="28"/>
  <c r="H74" i="28"/>
  <c r="G74" i="28"/>
  <c r="H169" i="28"/>
  <c r="I169" i="28"/>
  <c r="J169" i="28"/>
  <c r="K169" i="28"/>
  <c r="L169" i="28"/>
  <c r="M169" i="28"/>
  <c r="N169" i="28"/>
  <c r="O169" i="28"/>
  <c r="P169" i="28"/>
  <c r="Q169" i="28"/>
  <c r="R169" i="28"/>
  <c r="S169" i="28"/>
  <c r="H162" i="28"/>
  <c r="I162" i="28"/>
  <c r="J162" i="28"/>
  <c r="K162" i="28"/>
  <c r="L162" i="28"/>
  <c r="M162" i="28"/>
  <c r="N162" i="28"/>
  <c r="O162" i="28"/>
  <c r="P162" i="28"/>
  <c r="Q162" i="28"/>
  <c r="R162" i="28"/>
  <c r="S162" i="28"/>
  <c r="H155" i="28"/>
  <c r="I155" i="28"/>
  <c r="J155" i="28"/>
  <c r="K155" i="28"/>
  <c r="L155" i="28"/>
  <c r="M155" i="28"/>
  <c r="N155" i="28"/>
  <c r="O155" i="28"/>
  <c r="P155" i="28"/>
  <c r="Q155" i="28"/>
  <c r="R155" i="28"/>
  <c r="S155" i="28"/>
  <c r="H148" i="28"/>
  <c r="I148" i="28"/>
  <c r="J148" i="28"/>
  <c r="K148" i="28"/>
  <c r="L148" i="28"/>
  <c r="M148" i="28"/>
  <c r="N148" i="28"/>
  <c r="P148" i="28"/>
  <c r="Q148" i="28"/>
  <c r="R148" i="28"/>
  <c r="S148" i="28"/>
  <c r="G169" i="28"/>
  <c r="G162" i="28"/>
  <c r="G148" i="28"/>
  <c r="H141" i="28"/>
  <c r="I141" i="28"/>
  <c r="J141" i="28"/>
  <c r="K141" i="28"/>
  <c r="L141" i="28"/>
  <c r="M141" i="28"/>
  <c r="N141" i="28"/>
  <c r="O141" i="28"/>
  <c r="P141" i="28"/>
  <c r="Q141" i="28"/>
  <c r="R141" i="28"/>
  <c r="S141" i="28"/>
  <c r="G141" i="28"/>
  <c r="H168" i="28"/>
  <c r="I168" i="28"/>
  <c r="J168" i="28"/>
  <c r="K168" i="28"/>
  <c r="L168" i="28"/>
  <c r="M168" i="28"/>
  <c r="T334" i="28" s="1"/>
  <c r="N168" i="28"/>
  <c r="O168" i="28"/>
  <c r="P168" i="28"/>
  <c r="Q168" i="28"/>
  <c r="R168" i="28"/>
  <c r="S168" i="28"/>
  <c r="H161" i="28"/>
  <c r="I161" i="28"/>
  <c r="J161" i="28"/>
  <c r="K161" i="28"/>
  <c r="L161" i="28"/>
  <c r="M161" i="28"/>
  <c r="T329" i="28" s="1"/>
  <c r="N161" i="28"/>
  <c r="O161" i="28"/>
  <c r="P161" i="28"/>
  <c r="Q161" i="28"/>
  <c r="R161" i="28"/>
  <c r="S161" i="28"/>
  <c r="H154" i="28"/>
  <c r="I154" i="28"/>
  <c r="J154" i="28"/>
  <c r="K154" i="28"/>
  <c r="L154" i="28"/>
  <c r="M154" i="28"/>
  <c r="T324" i="28" s="1"/>
  <c r="N154" i="28"/>
  <c r="O154" i="28"/>
  <c r="P154" i="28"/>
  <c r="Q154" i="28"/>
  <c r="R154" i="28"/>
  <c r="S154" i="28"/>
  <c r="G154" i="28"/>
  <c r="H147" i="28"/>
  <c r="I147" i="28"/>
  <c r="J147" i="28"/>
  <c r="K147" i="28"/>
  <c r="L147" i="28"/>
  <c r="M147" i="28"/>
  <c r="N147" i="28"/>
  <c r="O147" i="28"/>
  <c r="P147" i="28"/>
  <c r="Q147" i="28"/>
  <c r="R147" i="28"/>
  <c r="S147" i="28"/>
  <c r="G168" i="28"/>
  <c r="G161" i="28"/>
  <c r="G147" i="28"/>
  <c r="G140" i="28"/>
  <c r="H140" i="28"/>
  <c r="I140" i="28"/>
  <c r="J140" i="28"/>
  <c r="K140" i="28"/>
  <c r="L140" i="28"/>
  <c r="M140" i="28"/>
  <c r="N140" i="28"/>
  <c r="O140" i="28"/>
  <c r="P140" i="28"/>
  <c r="Q140" i="28"/>
  <c r="R140" i="28"/>
  <c r="Q363" i="28" l="1"/>
  <c r="D386" i="28"/>
  <c r="J340" i="28"/>
  <c r="J354" i="28" s="1"/>
  <c r="D390" i="28"/>
  <c r="J348" i="28"/>
  <c r="J357" i="28" s="1"/>
  <c r="P363" i="28"/>
  <c r="O363" i="28"/>
  <c r="N363" i="28"/>
  <c r="E387" i="28"/>
  <c r="M363" i="28"/>
  <c r="L363" i="28"/>
  <c r="S363" i="28"/>
  <c r="R363" i="28"/>
  <c r="T314" i="28"/>
  <c r="H314" i="28"/>
  <c r="I314" i="28"/>
  <c r="J314" i="28"/>
  <c r="K314" i="28"/>
  <c r="L314" i="28"/>
  <c r="M314" i="28"/>
  <c r="K363" i="28"/>
  <c r="D387" i="28"/>
  <c r="J341" i="28"/>
  <c r="J355" i="28" s="1"/>
  <c r="D391" i="28"/>
  <c r="J349" i="28"/>
  <c r="J363" i="28"/>
  <c r="T319" i="28"/>
  <c r="M319" i="28"/>
  <c r="H319" i="28"/>
  <c r="I319" i="28"/>
  <c r="J319" i="28"/>
  <c r="K319" i="28"/>
  <c r="L319" i="28"/>
  <c r="D385" i="28"/>
  <c r="J339" i="28"/>
  <c r="J353" i="28" s="1"/>
  <c r="R24" i="33"/>
  <c r="E385" i="28"/>
  <c r="E391" i="28"/>
  <c r="E386" i="28"/>
  <c r="E390" i="28"/>
  <c r="Q314" i="28"/>
  <c r="N314" i="28"/>
  <c r="R314" i="28"/>
  <c r="O314" i="28"/>
  <c r="S314" i="28"/>
  <c r="P314" i="28"/>
  <c r="Q324" i="28"/>
  <c r="R324" i="28"/>
  <c r="P324" i="28"/>
  <c r="O324" i="28"/>
  <c r="S324" i="28"/>
  <c r="N324" i="28"/>
  <c r="R329" i="28"/>
  <c r="O329" i="28"/>
  <c r="S329" i="28"/>
  <c r="P329" i="28"/>
  <c r="N329" i="28"/>
  <c r="Q329" i="28"/>
  <c r="O176" i="28"/>
  <c r="P340" i="28" s="1"/>
  <c r="P354" i="28" s="1"/>
  <c r="O334" i="28"/>
  <c r="S334" i="28"/>
  <c r="P334" i="28"/>
  <c r="N334" i="28"/>
  <c r="R334" i="28"/>
  <c r="Q334" i="28"/>
  <c r="P319" i="28"/>
  <c r="N319" i="28"/>
  <c r="Q319" i="28"/>
  <c r="S319" i="28"/>
  <c r="R319" i="28"/>
  <c r="O319" i="28"/>
  <c r="E388" i="28"/>
  <c r="Q305" i="28"/>
  <c r="M305" i="28"/>
  <c r="I305" i="28"/>
  <c r="Q307" i="28"/>
  <c r="I307" i="28"/>
  <c r="M307" i="28"/>
  <c r="S305" i="28"/>
  <c r="O305" i="28"/>
  <c r="K305" i="28"/>
  <c r="P301" i="28"/>
  <c r="Q348" i="28" s="1"/>
  <c r="Q357" i="28" s="1"/>
  <c r="L301" i="28"/>
  <c r="M348" i="28" s="1"/>
  <c r="M357" i="28" s="1"/>
  <c r="H301" i="28"/>
  <c r="L307" i="28"/>
  <c r="H307" i="28"/>
  <c r="S301" i="28"/>
  <c r="T348" i="28" s="1"/>
  <c r="T357" i="28" s="1"/>
  <c r="O301" i="28"/>
  <c r="P348" i="28" s="1"/>
  <c r="P357" i="28" s="1"/>
  <c r="K301" i="28"/>
  <c r="L348" i="28" s="1"/>
  <c r="L357" i="28" s="1"/>
  <c r="P305" i="28"/>
  <c r="L305" i="28"/>
  <c r="H305" i="28"/>
  <c r="G307" i="28"/>
  <c r="P306" i="28"/>
  <c r="L306" i="28"/>
  <c r="H306" i="28"/>
  <c r="P307" i="28"/>
  <c r="Q304" i="28"/>
  <c r="M304" i="28"/>
  <c r="I304" i="28"/>
  <c r="G304" i="28"/>
  <c r="S306" i="28"/>
  <c r="O306" i="28"/>
  <c r="K306" i="28"/>
  <c r="S307" i="28"/>
  <c r="O307" i="28"/>
  <c r="K307" i="28"/>
  <c r="G301" i="28"/>
  <c r="R301" i="28"/>
  <c r="N301" i="28"/>
  <c r="O348" i="28" s="1"/>
  <c r="O357" i="28" s="1"/>
  <c r="J301" i="28"/>
  <c r="P304" i="28"/>
  <c r="L304" i="28"/>
  <c r="H304" i="28"/>
  <c r="S304" i="28"/>
  <c r="O304" i="28"/>
  <c r="K304" i="28"/>
  <c r="G305" i="28"/>
  <c r="R306" i="28"/>
  <c r="N306" i="28"/>
  <c r="J306" i="28"/>
  <c r="R307" i="28"/>
  <c r="N307" i="28"/>
  <c r="J307" i="28"/>
  <c r="Q301" i="28"/>
  <c r="R348" i="28" s="1"/>
  <c r="R357" i="28" s="1"/>
  <c r="M301" i="28"/>
  <c r="G390" i="28" s="1"/>
  <c r="I301" i="28"/>
  <c r="R304" i="28"/>
  <c r="N304" i="28"/>
  <c r="J304" i="28"/>
  <c r="R305" i="28"/>
  <c r="N305" i="28"/>
  <c r="J305" i="28"/>
  <c r="G306" i="28"/>
  <c r="Q306" i="28"/>
  <c r="M306" i="28"/>
  <c r="I306" i="28"/>
  <c r="K176" i="28"/>
  <c r="L340" i="28" s="1"/>
  <c r="L354" i="28" s="1"/>
  <c r="G175" i="28"/>
  <c r="S341" i="28"/>
  <c r="S355" i="28" s="1"/>
  <c r="O341" i="28"/>
  <c r="O355" i="28" s="1"/>
  <c r="S176" i="28"/>
  <c r="T340" i="28" s="1"/>
  <c r="T354" i="28" s="1"/>
  <c r="Q178" i="28"/>
  <c r="M178" i="28"/>
  <c r="G388" i="28" s="1"/>
  <c r="I178" i="28"/>
  <c r="P175" i="28"/>
  <c r="L175" i="28"/>
  <c r="H175" i="28"/>
  <c r="Q175" i="28"/>
  <c r="M175" i="28"/>
  <c r="I175" i="28"/>
  <c r="G176" i="28"/>
  <c r="R176" i="28"/>
  <c r="N176" i="28"/>
  <c r="O340" i="28" s="1"/>
  <c r="O354" i="28" s="1"/>
  <c r="J176" i="28"/>
  <c r="I387" i="28"/>
  <c r="P341" i="28"/>
  <c r="P355" i="28" s="1"/>
  <c r="S178" i="28"/>
  <c r="O178" i="28"/>
  <c r="K178" i="28"/>
  <c r="Q176" i="28"/>
  <c r="R340" i="28" s="1"/>
  <c r="R354" i="28" s="1"/>
  <c r="M176" i="28"/>
  <c r="N340" i="28" s="1"/>
  <c r="N354" i="28" s="1"/>
  <c r="I176" i="28"/>
  <c r="R178" i="28"/>
  <c r="N178" i="28"/>
  <c r="J178" i="28"/>
  <c r="S175" i="28"/>
  <c r="O175" i="28"/>
  <c r="K175" i="28"/>
  <c r="P176" i="28"/>
  <c r="Q340" i="28" s="1"/>
  <c r="Q354" i="28" s="1"/>
  <c r="L176" i="28"/>
  <c r="M340" i="28" s="1"/>
  <c r="M354" i="28" s="1"/>
  <c r="H176" i="28"/>
  <c r="R341" i="28"/>
  <c r="R355" i="28" s="1"/>
  <c r="R175" i="28"/>
  <c r="N175" i="28"/>
  <c r="J175" i="28"/>
  <c r="Q341" i="28"/>
  <c r="Q355" i="28" s="1"/>
  <c r="G178" i="28"/>
  <c r="P178" i="28"/>
  <c r="L178" i="28"/>
  <c r="H178" i="28"/>
  <c r="J362" i="28" l="1"/>
  <c r="U363" i="28"/>
  <c r="F385" i="28"/>
  <c r="H385" i="28"/>
  <c r="N385" i="28" s="1"/>
  <c r="J358" i="28"/>
  <c r="L339" i="28"/>
  <c r="L353" i="28" s="1"/>
  <c r="N339" i="28"/>
  <c r="N353" i="28" s="1"/>
  <c r="O339" i="28"/>
  <c r="O353" i="28" s="1"/>
  <c r="P339" i="28"/>
  <c r="P353" i="28" s="1"/>
  <c r="Q339" i="28"/>
  <c r="Q353" i="28" s="1"/>
  <c r="R339" i="28"/>
  <c r="R353" i="28" s="1"/>
  <c r="T339" i="28"/>
  <c r="T353" i="28" s="1"/>
  <c r="M339" i="28"/>
  <c r="M353" i="28" s="1"/>
  <c r="S339" i="28"/>
  <c r="S353" i="28" s="1"/>
  <c r="K339" i="28"/>
  <c r="K353" i="28" s="1"/>
  <c r="F390" i="28"/>
  <c r="K348" i="28"/>
  <c r="K357" i="28" s="1"/>
  <c r="H390" i="28"/>
  <c r="L385" i="28"/>
  <c r="J385" i="28"/>
  <c r="U355" i="28"/>
  <c r="I385" i="28"/>
  <c r="O385" i="28" s="1"/>
  <c r="F386" i="28"/>
  <c r="L386" i="28" s="1"/>
  <c r="K340" i="28"/>
  <c r="K354" i="28" s="1"/>
  <c r="U354" i="28" s="1"/>
  <c r="H386" i="28"/>
  <c r="N386" i="28" s="1"/>
  <c r="F388" i="28"/>
  <c r="L388" i="28" s="1"/>
  <c r="H388" i="28"/>
  <c r="N388" i="28" s="1"/>
  <c r="G385" i="28"/>
  <c r="M385" i="28" s="1"/>
  <c r="S24" i="33"/>
  <c r="I390" i="28"/>
  <c r="S348" i="28"/>
  <c r="S357" i="28" s="1"/>
  <c r="I386" i="28"/>
  <c r="O386" i="28" s="1"/>
  <c r="G386" i="28"/>
  <c r="N341" i="28"/>
  <c r="N355" i="28" s="1"/>
  <c r="G387" i="28"/>
  <c r="M387" i="28" s="1"/>
  <c r="S340" i="28"/>
  <c r="S354" i="28" s="1"/>
  <c r="M390" i="28"/>
  <c r="N348" i="28"/>
  <c r="N357" i="28" s="1"/>
  <c r="L387" i="28"/>
  <c r="M388" i="28"/>
  <c r="I388" i="28"/>
  <c r="O387" i="28"/>
  <c r="H68" i="28"/>
  <c r="I68" i="28"/>
  <c r="J68" i="28"/>
  <c r="K68" i="28"/>
  <c r="L68" i="28"/>
  <c r="M68" i="28"/>
  <c r="N68" i="28"/>
  <c r="N292" i="28" s="1"/>
  <c r="O68" i="28"/>
  <c r="P68" i="28"/>
  <c r="Q68" i="28"/>
  <c r="R68" i="28"/>
  <c r="S68" i="28"/>
  <c r="G68" i="28"/>
  <c r="U353" i="28" l="1"/>
  <c r="L390" i="28"/>
  <c r="U357" i="28"/>
  <c r="J388" i="28"/>
  <c r="P388" i="28" s="1"/>
  <c r="T24" i="33"/>
  <c r="M386" i="28"/>
  <c r="K385" i="28"/>
  <c r="Q385" i="28" s="1"/>
  <c r="J386" i="28"/>
  <c r="P386" i="28" s="1"/>
  <c r="K386" i="28"/>
  <c r="Q386" i="28" s="1"/>
  <c r="O390" i="28"/>
  <c r="K390" i="28"/>
  <c r="N390" i="28"/>
  <c r="K387" i="28"/>
  <c r="Q387" i="28" s="1"/>
  <c r="J390" i="28"/>
  <c r="N387" i="28"/>
  <c r="J387" i="28"/>
  <c r="P387" i="28" s="1"/>
  <c r="M298" i="28"/>
  <c r="M288" i="28"/>
  <c r="M268" i="28"/>
  <c r="M278" i="28"/>
  <c r="M258" i="28"/>
  <c r="H298" i="28"/>
  <c r="H288" i="28"/>
  <c r="H268" i="28"/>
  <c r="H278" i="28"/>
  <c r="H258" i="28"/>
  <c r="Q298" i="28"/>
  <c r="Q288" i="28"/>
  <c r="Q268" i="28"/>
  <c r="Q278" i="28"/>
  <c r="Q258" i="28"/>
  <c r="L298" i="28"/>
  <c r="L288" i="28"/>
  <c r="L268" i="28"/>
  <c r="L278" i="28"/>
  <c r="L258" i="28"/>
  <c r="S298" i="28"/>
  <c r="S288" i="28"/>
  <c r="S268" i="28"/>
  <c r="S278" i="28"/>
  <c r="S258" i="28"/>
  <c r="O298" i="28"/>
  <c r="O288" i="28"/>
  <c r="O268" i="28"/>
  <c r="O278" i="28"/>
  <c r="O258" i="28"/>
  <c r="K298" i="28"/>
  <c r="K288" i="28"/>
  <c r="K268" i="28"/>
  <c r="K278" i="28"/>
  <c r="K258" i="28"/>
  <c r="I298" i="28"/>
  <c r="I288" i="28"/>
  <c r="I268" i="28"/>
  <c r="I278" i="28"/>
  <c r="I258" i="28"/>
  <c r="G298" i="28"/>
  <c r="G258" i="28"/>
  <c r="G288" i="28"/>
  <c r="G278" i="28"/>
  <c r="G268" i="28"/>
  <c r="P298" i="28"/>
  <c r="P288" i="28"/>
  <c r="P268" i="28"/>
  <c r="P278" i="28"/>
  <c r="P258" i="28"/>
  <c r="R298" i="28"/>
  <c r="R288" i="28"/>
  <c r="R268" i="28"/>
  <c r="R278" i="28"/>
  <c r="R258" i="28"/>
  <c r="N298" i="28"/>
  <c r="N288" i="28"/>
  <c r="N268" i="28"/>
  <c r="N278" i="28"/>
  <c r="N258" i="28"/>
  <c r="J298" i="28"/>
  <c r="J288" i="28"/>
  <c r="J268" i="28"/>
  <c r="J278" i="28"/>
  <c r="J258" i="28"/>
  <c r="P292" i="28"/>
  <c r="P282" i="28"/>
  <c r="P252" i="28"/>
  <c r="P272" i="28"/>
  <c r="P262" i="28"/>
  <c r="Q292" i="28"/>
  <c r="Q282" i="28"/>
  <c r="Q252" i="28"/>
  <c r="Q272" i="28"/>
  <c r="Q262" i="28"/>
  <c r="G282" i="28"/>
  <c r="G252" i="28"/>
  <c r="G292" i="28"/>
  <c r="G272" i="28"/>
  <c r="G262" i="28"/>
  <c r="H292" i="28"/>
  <c r="H282" i="28"/>
  <c r="H252" i="28"/>
  <c r="H272" i="28"/>
  <c r="H262" i="28"/>
  <c r="O272" i="28"/>
  <c r="O262" i="28"/>
  <c r="O292" i="28"/>
  <c r="O282" i="28"/>
  <c r="O252" i="28"/>
  <c r="K292" i="28"/>
  <c r="K272" i="28"/>
  <c r="K262" i="28"/>
  <c r="K282" i="28"/>
  <c r="K252" i="28"/>
  <c r="M292" i="28"/>
  <c r="M282" i="28"/>
  <c r="M252" i="28"/>
  <c r="M272" i="28"/>
  <c r="M262" i="28"/>
  <c r="I292" i="28"/>
  <c r="I282" i="28"/>
  <c r="I252" i="28"/>
  <c r="I272" i="28"/>
  <c r="I262" i="28"/>
  <c r="L292" i="28"/>
  <c r="L282" i="28"/>
  <c r="L252" i="28"/>
  <c r="L272" i="28"/>
  <c r="L262" i="28"/>
  <c r="S272" i="28"/>
  <c r="S262" i="28"/>
  <c r="S292" i="28"/>
  <c r="S282" i="28"/>
  <c r="S252" i="28"/>
  <c r="R292" i="28"/>
  <c r="R282" i="28"/>
  <c r="R252" i="28"/>
  <c r="R272" i="28"/>
  <c r="R262" i="28"/>
  <c r="N282" i="28"/>
  <c r="N252" i="28"/>
  <c r="N272" i="28"/>
  <c r="N262" i="28"/>
  <c r="J292" i="28"/>
  <c r="J282" i="28"/>
  <c r="J252" i="28"/>
  <c r="J272" i="28"/>
  <c r="J262" i="28"/>
  <c r="U24" i="33" l="1"/>
  <c r="P385" i="28"/>
  <c r="Q390" i="28"/>
  <c r="P390" i="28"/>
  <c r="R302" i="28"/>
  <c r="S349" i="28" s="1"/>
  <c r="O302" i="28"/>
  <c r="P349" i="28" s="1"/>
  <c r="N308" i="28"/>
  <c r="I308" i="28"/>
  <c r="L308" i="28"/>
  <c r="M302" i="28"/>
  <c r="G391" i="28" s="1"/>
  <c r="K302" i="28"/>
  <c r="L349" i="28" s="1"/>
  <c r="Q302" i="28"/>
  <c r="R349" i="28" s="1"/>
  <c r="K308" i="28"/>
  <c r="Q308" i="28"/>
  <c r="J302" i="28"/>
  <c r="L302" i="28"/>
  <c r="M349" i="28" s="1"/>
  <c r="G302" i="28"/>
  <c r="P302" i="28"/>
  <c r="Q349" i="28" s="1"/>
  <c r="P308" i="28"/>
  <c r="O308" i="28"/>
  <c r="H308" i="28"/>
  <c r="R308" i="28"/>
  <c r="N302" i="28"/>
  <c r="O349" i="28" s="1"/>
  <c r="S302" i="28"/>
  <c r="T349" i="28" s="1"/>
  <c r="I302" i="28"/>
  <c r="H302" i="28"/>
  <c r="J308" i="28"/>
  <c r="G308" i="28"/>
  <c r="S308" i="28"/>
  <c r="M308" i="28"/>
  <c r="J379" i="20"/>
  <c r="J382" i="20" s="1"/>
  <c r="J390" i="20" s="1"/>
  <c r="K379" i="20"/>
  <c r="K381" i="20" s="1"/>
  <c r="K389" i="20" s="1"/>
  <c r="L379" i="20"/>
  <c r="L382" i="20" s="1"/>
  <c r="L390" i="20" s="1"/>
  <c r="M379" i="20"/>
  <c r="N379" i="20"/>
  <c r="N382" i="20" s="1"/>
  <c r="N390" i="20" s="1"/>
  <c r="O379" i="20"/>
  <c r="O382" i="20" s="1"/>
  <c r="O390" i="20" s="1"/>
  <c r="P379" i="20"/>
  <c r="P381" i="20" s="1"/>
  <c r="P389" i="20" s="1"/>
  <c r="Q379" i="20"/>
  <c r="R379" i="20"/>
  <c r="S379" i="20"/>
  <c r="T379" i="20"/>
  <c r="U379" i="20"/>
  <c r="J360" i="20"/>
  <c r="J362" i="20" s="1"/>
  <c r="J370" i="20" s="1"/>
  <c r="K360" i="20"/>
  <c r="L360" i="20"/>
  <c r="L362" i="20" s="1"/>
  <c r="L370" i="20" s="1"/>
  <c r="M360" i="20"/>
  <c r="M363" i="20" s="1"/>
  <c r="M371" i="20" s="1"/>
  <c r="N360" i="20"/>
  <c r="N362" i="20" s="1"/>
  <c r="N370" i="20" s="1"/>
  <c r="O360" i="20"/>
  <c r="P360" i="20"/>
  <c r="P362" i="20" s="1"/>
  <c r="P370" i="20" s="1"/>
  <c r="Q360" i="20"/>
  <c r="R360" i="20"/>
  <c r="S360" i="20"/>
  <c r="T360" i="20"/>
  <c r="U360" i="20"/>
  <c r="J341" i="20"/>
  <c r="J344" i="20" s="1"/>
  <c r="J352" i="20" s="1"/>
  <c r="K341" i="20"/>
  <c r="K344" i="20" s="1"/>
  <c r="K352" i="20" s="1"/>
  <c r="L341" i="20"/>
  <c r="L342" i="20" s="1"/>
  <c r="L350" i="20" s="1"/>
  <c r="M341" i="20"/>
  <c r="M343" i="20" s="1"/>
  <c r="M351" i="20" s="1"/>
  <c r="N341" i="20"/>
  <c r="N343" i="20" s="1"/>
  <c r="N351" i="20" s="1"/>
  <c r="O341" i="20"/>
  <c r="O344" i="20" s="1"/>
  <c r="O352" i="20" s="1"/>
  <c r="P341" i="20"/>
  <c r="P344" i="20" s="1"/>
  <c r="P352" i="20" s="1"/>
  <c r="Q341" i="20"/>
  <c r="R341" i="20"/>
  <c r="S341" i="20"/>
  <c r="T341" i="20"/>
  <c r="U341" i="20"/>
  <c r="J322" i="20"/>
  <c r="J323" i="20" s="1"/>
  <c r="J331" i="20" s="1"/>
  <c r="K322" i="20"/>
  <c r="K324" i="20" s="1"/>
  <c r="K332" i="20" s="1"/>
  <c r="L322" i="20"/>
  <c r="M322" i="20"/>
  <c r="N322" i="20"/>
  <c r="N325" i="20" s="1"/>
  <c r="N333" i="20" s="1"/>
  <c r="O322" i="20"/>
  <c r="O325" i="20" s="1"/>
  <c r="O333" i="20" s="1"/>
  <c r="P322" i="20"/>
  <c r="Q322" i="20"/>
  <c r="R322" i="20"/>
  <c r="S322" i="20"/>
  <c r="T322" i="20"/>
  <c r="U322" i="20"/>
  <c r="J303" i="20"/>
  <c r="K303" i="20"/>
  <c r="K306" i="20" s="1"/>
  <c r="K314" i="20" s="1"/>
  <c r="L303" i="20"/>
  <c r="L305" i="20" s="1"/>
  <c r="L313" i="20" s="1"/>
  <c r="M303" i="20"/>
  <c r="M305" i="20" s="1"/>
  <c r="M313" i="20" s="1"/>
  <c r="N303" i="20"/>
  <c r="N306" i="20" s="1"/>
  <c r="N314" i="20" s="1"/>
  <c r="O303" i="20"/>
  <c r="O306" i="20" s="1"/>
  <c r="O314" i="20" s="1"/>
  <c r="P303" i="20"/>
  <c r="P306" i="20" s="1"/>
  <c r="P314" i="20" s="1"/>
  <c r="Q303" i="20"/>
  <c r="R303" i="20"/>
  <c r="S303" i="20"/>
  <c r="T303" i="20"/>
  <c r="U303" i="20"/>
  <c r="I379" i="20"/>
  <c r="I382" i="20" s="1"/>
  <c r="I390" i="20" s="1"/>
  <c r="I360" i="20"/>
  <c r="I362" i="20" s="1"/>
  <c r="I370" i="20" s="1"/>
  <c r="I341" i="20"/>
  <c r="I322" i="20"/>
  <c r="I323" i="20" s="1"/>
  <c r="I331" i="20" s="1"/>
  <c r="I303" i="20"/>
  <c r="I304" i="20" s="1"/>
  <c r="I312" i="20" s="1"/>
  <c r="J197" i="20"/>
  <c r="K197" i="20"/>
  <c r="L197" i="20"/>
  <c r="M197" i="20"/>
  <c r="N197" i="20"/>
  <c r="O197" i="20"/>
  <c r="P197" i="20"/>
  <c r="Q197" i="20"/>
  <c r="R197" i="20"/>
  <c r="S197" i="20"/>
  <c r="T197" i="20"/>
  <c r="U197" i="20"/>
  <c r="I197" i="20"/>
  <c r="J258" i="20"/>
  <c r="J261" i="20" s="1"/>
  <c r="J266" i="20" s="1"/>
  <c r="K258" i="20"/>
  <c r="K261" i="20" s="1"/>
  <c r="K266" i="20" s="1"/>
  <c r="L258" i="20"/>
  <c r="L262" i="20" s="1"/>
  <c r="M258" i="20"/>
  <c r="M262" i="20" s="1"/>
  <c r="N258" i="20"/>
  <c r="N262" i="20" s="1"/>
  <c r="O258" i="20"/>
  <c r="O262" i="20" s="1"/>
  <c r="P258" i="20"/>
  <c r="P263" i="20" s="1"/>
  <c r="P268" i="20" s="1"/>
  <c r="Q258" i="20"/>
  <c r="R258" i="20"/>
  <c r="S258" i="20"/>
  <c r="T258" i="20"/>
  <c r="U258" i="20"/>
  <c r="U259" i="20" s="1"/>
  <c r="I258" i="20"/>
  <c r="I263" i="20" s="1"/>
  <c r="I268" i="20" s="1"/>
  <c r="J245" i="20"/>
  <c r="J247" i="20" s="1"/>
  <c r="K245" i="20"/>
  <c r="K250" i="20" s="1"/>
  <c r="K255" i="20" s="1"/>
  <c r="L245" i="20"/>
  <c r="L250" i="20" s="1"/>
  <c r="L255" i="20" s="1"/>
  <c r="M245" i="20"/>
  <c r="M250" i="20" s="1"/>
  <c r="M255" i="20" s="1"/>
  <c r="N245" i="20"/>
  <c r="N248" i="20" s="1"/>
  <c r="N253" i="20" s="1"/>
  <c r="O245" i="20"/>
  <c r="O247" i="20" s="1"/>
  <c r="P245" i="20"/>
  <c r="P249" i="20" s="1"/>
  <c r="Q245" i="20"/>
  <c r="R245" i="20"/>
  <c r="S245" i="20"/>
  <c r="T245" i="20"/>
  <c r="U245" i="20"/>
  <c r="I245" i="20"/>
  <c r="I248" i="20" s="1"/>
  <c r="I253" i="20" s="1"/>
  <c r="J232" i="20"/>
  <c r="J237" i="20" s="1"/>
  <c r="J242" i="20" s="1"/>
  <c r="K232" i="20"/>
  <c r="K236" i="20" s="1"/>
  <c r="L232" i="20"/>
  <c r="L237" i="20" s="1"/>
  <c r="L242" i="20" s="1"/>
  <c r="M232" i="20"/>
  <c r="M237" i="20" s="1"/>
  <c r="M242" i="20" s="1"/>
  <c r="N232" i="20"/>
  <c r="N235" i="20" s="1"/>
  <c r="N240" i="20" s="1"/>
  <c r="O232" i="20"/>
  <c r="O236" i="20" s="1"/>
  <c r="P232" i="20"/>
  <c r="P237" i="20" s="1"/>
  <c r="P242" i="20" s="1"/>
  <c r="Q232" i="20"/>
  <c r="R232" i="20"/>
  <c r="S232" i="20"/>
  <c r="T232" i="20"/>
  <c r="U232" i="20"/>
  <c r="I232" i="20"/>
  <c r="I236" i="20" s="1"/>
  <c r="J219" i="20"/>
  <c r="J221" i="20" s="1"/>
  <c r="K219" i="20"/>
  <c r="K222" i="20" s="1"/>
  <c r="K227" i="20" s="1"/>
  <c r="L219" i="20"/>
  <c r="L221" i="20" s="1"/>
  <c r="M219" i="20"/>
  <c r="M224" i="20" s="1"/>
  <c r="M229" i="20" s="1"/>
  <c r="N219" i="20"/>
  <c r="N223" i="20" s="1"/>
  <c r="O219" i="20"/>
  <c r="O224" i="20" s="1"/>
  <c r="O229" i="20" s="1"/>
  <c r="P219" i="20"/>
  <c r="P222" i="20" s="1"/>
  <c r="P227" i="20" s="1"/>
  <c r="Q219" i="20"/>
  <c r="Q221" i="20" s="1"/>
  <c r="R219" i="20"/>
  <c r="R221" i="20" s="1"/>
  <c r="R226" i="20" s="1"/>
  <c r="S219" i="20"/>
  <c r="T219" i="20"/>
  <c r="U219" i="20"/>
  <c r="I219" i="20"/>
  <c r="I224" i="20" s="1"/>
  <c r="I229" i="20" s="1"/>
  <c r="J206" i="20"/>
  <c r="K206" i="20"/>
  <c r="K211" i="20" s="1"/>
  <c r="K216" i="20" s="1"/>
  <c r="L206" i="20"/>
  <c r="L210" i="20" s="1"/>
  <c r="M206" i="20"/>
  <c r="M209" i="20" s="1"/>
  <c r="M214" i="20" s="1"/>
  <c r="N206" i="20"/>
  <c r="N211" i="20" s="1"/>
  <c r="N216" i="20" s="1"/>
  <c r="O206" i="20"/>
  <c r="O211" i="20" s="1"/>
  <c r="O216" i="20" s="1"/>
  <c r="P206" i="20"/>
  <c r="P211" i="20" s="1"/>
  <c r="P216" i="20" s="1"/>
  <c r="Q206" i="20"/>
  <c r="Q207" i="20" s="1"/>
  <c r="R206" i="20"/>
  <c r="S206" i="20"/>
  <c r="T206" i="20"/>
  <c r="U206" i="20"/>
  <c r="J156" i="20"/>
  <c r="K156" i="20"/>
  <c r="L156" i="20"/>
  <c r="M156" i="20"/>
  <c r="N156" i="20"/>
  <c r="O156" i="20"/>
  <c r="P156" i="20"/>
  <c r="Q156" i="20"/>
  <c r="R156" i="20"/>
  <c r="S156" i="20"/>
  <c r="T156" i="20"/>
  <c r="U156" i="20"/>
  <c r="J154" i="20"/>
  <c r="K154" i="20"/>
  <c r="L154" i="20"/>
  <c r="M154" i="20"/>
  <c r="N154" i="20"/>
  <c r="O154" i="20"/>
  <c r="P154" i="20"/>
  <c r="Q154" i="20"/>
  <c r="R154" i="20"/>
  <c r="S154" i="20"/>
  <c r="T154" i="20"/>
  <c r="U154" i="20"/>
  <c r="J152" i="20"/>
  <c r="K152" i="20"/>
  <c r="L152" i="20"/>
  <c r="M152" i="20"/>
  <c r="N152" i="20"/>
  <c r="O152" i="20"/>
  <c r="P152" i="20"/>
  <c r="Q152" i="20"/>
  <c r="R152" i="20"/>
  <c r="S152" i="20"/>
  <c r="T152" i="20"/>
  <c r="U152" i="20"/>
  <c r="J150" i="20"/>
  <c r="K150" i="20"/>
  <c r="L150" i="20"/>
  <c r="M150" i="20"/>
  <c r="O150" i="20"/>
  <c r="P150" i="20"/>
  <c r="Q150" i="20"/>
  <c r="R150" i="20"/>
  <c r="S150" i="20"/>
  <c r="T150" i="20"/>
  <c r="U150" i="20"/>
  <c r="J148" i="20"/>
  <c r="K148" i="20"/>
  <c r="L148" i="20"/>
  <c r="M148" i="20"/>
  <c r="N148" i="20"/>
  <c r="O148" i="20"/>
  <c r="P148" i="20"/>
  <c r="Q148" i="20"/>
  <c r="R148" i="20"/>
  <c r="S148" i="20"/>
  <c r="T148" i="20"/>
  <c r="U148" i="20"/>
  <c r="I156" i="20"/>
  <c r="I154" i="20"/>
  <c r="I152" i="20"/>
  <c r="I150" i="20"/>
  <c r="I148" i="20"/>
  <c r="F22" i="5"/>
  <c r="K79" i="20"/>
  <c r="G22" i="5" s="1"/>
  <c r="L79" i="20"/>
  <c r="H22" i="5" s="1"/>
  <c r="M79" i="20"/>
  <c r="I22" i="5" s="1"/>
  <c r="N79" i="20"/>
  <c r="J22" i="5" s="1"/>
  <c r="O79" i="20"/>
  <c r="K22" i="5" s="1"/>
  <c r="P79" i="20"/>
  <c r="L22" i="5" s="1"/>
  <c r="Q79" i="20"/>
  <c r="M22" i="5" s="1"/>
  <c r="R79" i="20"/>
  <c r="N22" i="5" s="1"/>
  <c r="S79" i="20"/>
  <c r="O22" i="5" s="1"/>
  <c r="T79" i="20"/>
  <c r="P22" i="5" s="1"/>
  <c r="V79" i="20"/>
  <c r="T362" i="28" l="1"/>
  <c r="T358" i="28"/>
  <c r="O362" i="28"/>
  <c r="O358" i="28"/>
  <c r="L362" i="28"/>
  <c r="L358" i="28"/>
  <c r="R362" i="28"/>
  <c r="R358" i="28"/>
  <c r="P362" i="28"/>
  <c r="P358" i="28"/>
  <c r="Q362" i="28"/>
  <c r="Q358" i="28"/>
  <c r="S362" i="28"/>
  <c r="S358" i="28"/>
  <c r="M362" i="28"/>
  <c r="M358" i="28"/>
  <c r="F391" i="28"/>
  <c r="K349" i="28"/>
  <c r="H391" i="28"/>
  <c r="X79" i="20"/>
  <c r="V280" i="20"/>
  <c r="J305" i="20"/>
  <c r="J313" i="20" s="1"/>
  <c r="R22" i="5"/>
  <c r="V24" i="33"/>
  <c r="I391" i="28"/>
  <c r="K263" i="20"/>
  <c r="K268" i="20" s="1"/>
  <c r="J157" i="20"/>
  <c r="O157" i="20"/>
  <c r="K157" i="20"/>
  <c r="L157" i="20"/>
  <c r="Q157" i="20"/>
  <c r="N349" i="28"/>
  <c r="I209" i="20"/>
  <c r="I214" i="20" s="1"/>
  <c r="J208" i="20"/>
  <c r="J207" i="20"/>
  <c r="J212" i="20" s="1"/>
  <c r="P157" i="20"/>
  <c r="J306" i="20"/>
  <c r="J314" i="20" s="1"/>
  <c r="J381" i="20"/>
  <c r="J389" i="20" s="1"/>
  <c r="J324" i="20"/>
  <c r="J332" i="20" s="1"/>
  <c r="N363" i="20"/>
  <c r="N371" i="20" s="1"/>
  <c r="O323" i="20"/>
  <c r="O331" i="20" s="1"/>
  <c r="N305" i="20"/>
  <c r="N313" i="20" s="1"/>
  <c r="J343" i="20"/>
  <c r="J351" i="20" s="1"/>
  <c r="N157" i="20"/>
  <c r="K325" i="20"/>
  <c r="K333" i="20" s="1"/>
  <c r="I222" i="20"/>
  <c r="I227" i="20" s="1"/>
  <c r="P382" i="20"/>
  <c r="P390" i="20" s="1"/>
  <c r="O221" i="20"/>
  <c r="N304" i="20"/>
  <c r="N312" i="20" s="1"/>
  <c r="I306" i="20"/>
  <c r="I314" i="20" s="1"/>
  <c r="J304" i="20"/>
  <c r="J312" i="20" s="1"/>
  <c r="I305" i="20"/>
  <c r="I313" i="20" s="1"/>
  <c r="J325" i="20"/>
  <c r="J333" i="20" s="1"/>
  <c r="N361" i="20"/>
  <c r="N369" i="20" s="1"/>
  <c r="N380" i="20"/>
  <c r="N388" i="20" s="1"/>
  <c r="P248" i="20"/>
  <c r="P253" i="20" s="1"/>
  <c r="N344" i="20"/>
  <c r="N352" i="20" s="1"/>
  <c r="J363" i="20"/>
  <c r="J371" i="20" s="1"/>
  <c r="I381" i="20"/>
  <c r="I389" i="20" s="1"/>
  <c r="N323" i="20"/>
  <c r="N331" i="20" s="1"/>
  <c r="J342" i="20"/>
  <c r="J350" i="20" s="1"/>
  <c r="J361" i="20"/>
  <c r="J369" i="20" s="1"/>
  <c r="N381" i="20"/>
  <c r="N389" i="20" s="1"/>
  <c r="L343" i="20"/>
  <c r="L351" i="20" s="1"/>
  <c r="N246" i="20"/>
  <c r="N251" i="20" s="1"/>
  <c r="O233" i="20"/>
  <c r="O238" i="20" s="1"/>
  <c r="I260" i="20"/>
  <c r="P304" i="20"/>
  <c r="P312" i="20" s="1"/>
  <c r="P305" i="20"/>
  <c r="P313" i="20" s="1"/>
  <c r="P363" i="20"/>
  <c r="P371" i="20" s="1"/>
  <c r="O237" i="20"/>
  <c r="O242" i="20" s="1"/>
  <c r="P343" i="20"/>
  <c r="P351" i="20" s="1"/>
  <c r="L344" i="20"/>
  <c r="L352" i="20" s="1"/>
  <c r="I261" i="20"/>
  <c r="I266" i="20" s="1"/>
  <c r="I208" i="20"/>
  <c r="K223" i="20"/>
  <c r="N263" i="20"/>
  <c r="N268" i="20" s="1"/>
  <c r="J209" i="20"/>
  <c r="J214" i="20" s="1"/>
  <c r="I259" i="20"/>
  <c r="I264" i="20" s="1"/>
  <c r="N221" i="20"/>
  <c r="K237" i="20"/>
  <c r="K242" i="20" s="1"/>
  <c r="M207" i="20"/>
  <c r="M212" i="20" s="1"/>
  <c r="M211" i="20"/>
  <c r="M216" i="20" s="1"/>
  <c r="I221" i="20"/>
  <c r="J223" i="20"/>
  <c r="O235" i="20"/>
  <c r="O240" i="20" s="1"/>
  <c r="L306" i="20"/>
  <c r="L314" i="20" s="1"/>
  <c r="P342" i="20"/>
  <c r="P350" i="20" s="1"/>
  <c r="L361" i="20"/>
  <c r="L369" i="20" s="1"/>
  <c r="L381" i="20"/>
  <c r="L389" i="20" s="1"/>
  <c r="M210" i="20"/>
  <c r="K233" i="20"/>
  <c r="K238" i="20" s="1"/>
  <c r="L249" i="20"/>
  <c r="N220" i="20"/>
  <c r="N225" i="20" s="1"/>
  <c r="J222" i="20"/>
  <c r="J227" i="20" s="1"/>
  <c r="N224" i="20"/>
  <c r="N229" i="20" s="1"/>
  <c r="K235" i="20"/>
  <c r="K240" i="20" s="1"/>
  <c r="L246" i="20"/>
  <c r="L251" i="20" s="1"/>
  <c r="I212" i="20"/>
  <c r="P380" i="20"/>
  <c r="P388" i="20" s="1"/>
  <c r="I325" i="20"/>
  <c r="I333" i="20" s="1"/>
  <c r="K209" i="20"/>
  <c r="K214" i="20" s="1"/>
  <c r="L304" i="20"/>
  <c r="L312" i="20" s="1"/>
  <c r="P361" i="20"/>
  <c r="P369" i="20" s="1"/>
  <c r="L363" i="20"/>
  <c r="L371" i="20" s="1"/>
  <c r="L380" i="20"/>
  <c r="L388" i="20" s="1"/>
  <c r="K207" i="20"/>
  <c r="K212" i="20" s="1"/>
  <c r="M304" i="20"/>
  <c r="M312" i="20" s="1"/>
  <c r="M306" i="20"/>
  <c r="M314" i="20" s="1"/>
  <c r="I324" i="20"/>
  <c r="I332" i="20" s="1"/>
  <c r="M361" i="20"/>
  <c r="M369" i="20" s="1"/>
  <c r="M362" i="20"/>
  <c r="M370" i="20" s="1"/>
  <c r="I246" i="20"/>
  <c r="I251" i="20" s="1"/>
  <c r="J249" i="20"/>
  <c r="O208" i="20"/>
  <c r="O210" i="20"/>
  <c r="I247" i="20"/>
  <c r="J250" i="20"/>
  <c r="J255" i="20" s="1"/>
  <c r="N208" i="20"/>
  <c r="J211" i="20"/>
  <c r="J216" i="20" s="1"/>
  <c r="K220" i="20"/>
  <c r="K225" i="20" s="1"/>
  <c r="O222" i="20"/>
  <c r="O227" i="20" s="1"/>
  <c r="K224" i="20"/>
  <c r="K229" i="20" s="1"/>
  <c r="N259" i="20"/>
  <c r="N264" i="20" s="1"/>
  <c r="N260" i="20"/>
  <c r="N261" i="20"/>
  <c r="N266" i="20" s="1"/>
  <c r="O324" i="20"/>
  <c r="O332" i="20" s="1"/>
  <c r="I363" i="20"/>
  <c r="I371" i="20" s="1"/>
  <c r="M208" i="20"/>
  <c r="I210" i="20"/>
  <c r="I211" i="20"/>
  <c r="I216" i="20" s="1"/>
  <c r="J220" i="20"/>
  <c r="J225" i="20" s="1"/>
  <c r="K221" i="20"/>
  <c r="N222" i="20"/>
  <c r="N227" i="20" s="1"/>
  <c r="O223" i="20"/>
  <c r="I223" i="20"/>
  <c r="J224" i="20"/>
  <c r="J229" i="20" s="1"/>
  <c r="O234" i="20"/>
  <c r="P246" i="20"/>
  <c r="P251" i="20" s="1"/>
  <c r="P247" i="20"/>
  <c r="L248" i="20"/>
  <c r="L253" i="20" s="1"/>
  <c r="P250" i="20"/>
  <c r="P255" i="20" s="1"/>
  <c r="M259" i="20"/>
  <c r="M264" i="20" s="1"/>
  <c r="M260" i="20"/>
  <c r="M261" i="20"/>
  <c r="M266" i="20" s="1"/>
  <c r="J262" i="20"/>
  <c r="J263" i="20"/>
  <c r="J268" i="20" s="1"/>
  <c r="K323" i="20"/>
  <c r="K331" i="20" s="1"/>
  <c r="N324" i="20"/>
  <c r="N332" i="20" s="1"/>
  <c r="N342" i="20"/>
  <c r="N350" i="20" s="1"/>
  <c r="J380" i="20"/>
  <c r="J388" i="20" s="1"/>
  <c r="N209" i="20"/>
  <c r="N214" i="20" s="1"/>
  <c r="J210" i="20"/>
  <c r="O342" i="20"/>
  <c r="O350" i="20" s="1"/>
  <c r="I361" i="20"/>
  <c r="I369" i="20" s="1"/>
  <c r="N207" i="20"/>
  <c r="N212" i="20" s="1"/>
  <c r="N210" i="20"/>
  <c r="O220" i="20"/>
  <c r="O225" i="20" s="1"/>
  <c r="I220" i="20"/>
  <c r="I225" i="20" s="1"/>
  <c r="K234" i="20"/>
  <c r="L247" i="20"/>
  <c r="J259" i="20"/>
  <c r="J264" i="20" s="1"/>
  <c r="J260" i="20"/>
  <c r="I262" i="20"/>
  <c r="O304" i="20"/>
  <c r="O312" i="20" s="1"/>
  <c r="K304" i="20"/>
  <c r="K312" i="20" s="1"/>
  <c r="O305" i="20"/>
  <c r="O313" i="20" s="1"/>
  <c r="K305" i="20"/>
  <c r="K313" i="20" s="1"/>
  <c r="I380" i="20"/>
  <c r="I388" i="20" s="1"/>
  <c r="K208" i="20"/>
  <c r="K210" i="20"/>
  <c r="P220" i="20"/>
  <c r="P225" i="20" s="1"/>
  <c r="L223" i="20"/>
  <c r="P224" i="20"/>
  <c r="P229" i="20" s="1"/>
  <c r="J246" i="20"/>
  <c r="J251" i="20" s="1"/>
  <c r="N250" i="20"/>
  <c r="N255" i="20" s="1"/>
  <c r="K380" i="20"/>
  <c r="K388" i="20" s="1"/>
  <c r="O381" i="20"/>
  <c r="O389" i="20" s="1"/>
  <c r="O343" i="20"/>
  <c r="O351" i="20" s="1"/>
  <c r="K343" i="20"/>
  <c r="K351" i="20" s="1"/>
  <c r="O361" i="20"/>
  <c r="O369" i="20" s="1"/>
  <c r="K361" i="20"/>
  <c r="K369" i="20" s="1"/>
  <c r="O362" i="20"/>
  <c r="O370" i="20" s="1"/>
  <c r="K362" i="20"/>
  <c r="K370" i="20" s="1"/>
  <c r="O363" i="20"/>
  <c r="O371" i="20" s="1"/>
  <c r="K363" i="20"/>
  <c r="K371" i="20" s="1"/>
  <c r="O380" i="20"/>
  <c r="O388" i="20" s="1"/>
  <c r="K342" i="20"/>
  <c r="K350" i="20" s="1"/>
  <c r="K382" i="20"/>
  <c r="K390" i="20" s="1"/>
  <c r="O207" i="20"/>
  <c r="O212" i="20" s="1"/>
  <c r="O209" i="20"/>
  <c r="O214" i="20" s="1"/>
  <c r="L220" i="20"/>
  <c r="L225" i="20" s="1"/>
  <c r="P221" i="20"/>
  <c r="L224" i="20"/>
  <c r="L229" i="20" s="1"/>
  <c r="N247" i="20"/>
  <c r="I250" i="20"/>
  <c r="I255" i="20" s="1"/>
  <c r="M380" i="20"/>
  <c r="M388" i="20" s="1"/>
  <c r="M381" i="20"/>
  <c r="M389" i="20" s="1"/>
  <c r="M382" i="20"/>
  <c r="M390" i="20" s="1"/>
  <c r="M342" i="20"/>
  <c r="M350" i="20" s="1"/>
  <c r="M344" i="20"/>
  <c r="M352" i="20" s="1"/>
  <c r="M323" i="20"/>
  <c r="M331" i="20" s="1"/>
  <c r="M324" i="20"/>
  <c r="M332" i="20" s="1"/>
  <c r="M325" i="20"/>
  <c r="M333" i="20" s="1"/>
  <c r="P323" i="20"/>
  <c r="P331" i="20" s="1"/>
  <c r="L323" i="20"/>
  <c r="L331" i="20" s="1"/>
  <c r="P324" i="20"/>
  <c r="P332" i="20" s="1"/>
  <c r="L324" i="20"/>
  <c r="L332" i="20" s="1"/>
  <c r="P325" i="20"/>
  <c r="P333" i="20" s="1"/>
  <c r="L325" i="20"/>
  <c r="L333" i="20" s="1"/>
  <c r="I342" i="20"/>
  <c r="I350" i="20" s="1"/>
  <c r="I343" i="20"/>
  <c r="I351" i="20" s="1"/>
  <c r="I344" i="20"/>
  <c r="I352" i="20" s="1"/>
  <c r="I233" i="20"/>
  <c r="I238" i="20" s="1"/>
  <c r="O246" i="20"/>
  <c r="O251" i="20" s="1"/>
  <c r="O250" i="20"/>
  <c r="O255" i="20" s="1"/>
  <c r="K249" i="20"/>
  <c r="L263" i="20"/>
  <c r="L268" i="20" s="1"/>
  <c r="J234" i="20"/>
  <c r="N236" i="20"/>
  <c r="I237" i="20"/>
  <c r="I242" i="20" s="1"/>
  <c r="K248" i="20"/>
  <c r="K253" i="20" s="1"/>
  <c r="O249" i="20"/>
  <c r="L211" i="20"/>
  <c r="L216" i="20" s="1"/>
  <c r="L222" i="20"/>
  <c r="L227" i="20" s="1"/>
  <c r="P223" i="20"/>
  <c r="N234" i="20"/>
  <c r="I235" i="20"/>
  <c r="I240" i="20" s="1"/>
  <c r="J236" i="20"/>
  <c r="K247" i="20"/>
  <c r="O248" i="20"/>
  <c r="O253" i="20" s="1"/>
  <c r="J248" i="20"/>
  <c r="J253" i="20" s="1"/>
  <c r="N249" i="20"/>
  <c r="I249" i="20"/>
  <c r="P259" i="20"/>
  <c r="P264" i="20" s="1"/>
  <c r="L259" i="20"/>
  <c r="L264" i="20" s="1"/>
  <c r="P260" i="20"/>
  <c r="L260" i="20"/>
  <c r="P261" i="20"/>
  <c r="P266" i="20" s="1"/>
  <c r="L261" i="20"/>
  <c r="L266" i="20" s="1"/>
  <c r="P262" i="20"/>
  <c r="K262" i="20"/>
  <c r="O263" i="20"/>
  <c r="O268" i="20" s="1"/>
  <c r="N233" i="20"/>
  <c r="N238" i="20" s="1"/>
  <c r="I234" i="20"/>
  <c r="J235" i="20"/>
  <c r="J240" i="20" s="1"/>
  <c r="N237" i="20"/>
  <c r="N242" i="20" s="1"/>
  <c r="P207" i="20"/>
  <c r="P212" i="20" s="1"/>
  <c r="L207" i="20"/>
  <c r="L212" i="20" s="1"/>
  <c r="P208" i="20"/>
  <c r="L208" i="20"/>
  <c r="P209" i="20"/>
  <c r="P214" i="20" s="1"/>
  <c r="L209" i="20"/>
  <c r="L214" i="20" s="1"/>
  <c r="P210" i="20"/>
  <c r="J233" i="20"/>
  <c r="J238" i="20" s="1"/>
  <c r="K246" i="20"/>
  <c r="K251" i="20" s="1"/>
  <c r="O259" i="20"/>
  <c r="O264" i="20" s="1"/>
  <c r="K259" i="20"/>
  <c r="K264" i="20" s="1"/>
  <c r="O260" i="20"/>
  <c r="K260" i="20"/>
  <c r="O261" i="20"/>
  <c r="O266" i="20" s="1"/>
  <c r="M263" i="20"/>
  <c r="M268" i="20" s="1"/>
  <c r="M246" i="20"/>
  <c r="M251" i="20" s="1"/>
  <c r="M247" i="20"/>
  <c r="M248" i="20"/>
  <c r="M253" i="20" s="1"/>
  <c r="M249" i="20"/>
  <c r="M233" i="20"/>
  <c r="M238" i="20" s="1"/>
  <c r="M234" i="20"/>
  <c r="M235" i="20"/>
  <c r="M240" i="20" s="1"/>
  <c r="M236" i="20"/>
  <c r="P233" i="20"/>
  <c r="P238" i="20" s="1"/>
  <c r="L233" i="20"/>
  <c r="L238" i="20" s="1"/>
  <c r="P234" i="20"/>
  <c r="L234" i="20"/>
  <c r="P235" i="20"/>
  <c r="P240" i="20" s="1"/>
  <c r="L235" i="20"/>
  <c r="L240" i="20" s="1"/>
  <c r="P236" i="20"/>
  <c r="L236" i="20"/>
  <c r="M220" i="20"/>
  <c r="M225" i="20" s="1"/>
  <c r="M221" i="20"/>
  <c r="M222" i="20"/>
  <c r="M227" i="20" s="1"/>
  <c r="M223" i="20"/>
  <c r="M157" i="20"/>
  <c r="I157" i="20"/>
  <c r="K362" i="28" l="1"/>
  <c r="K358" i="28"/>
  <c r="N362" i="28"/>
  <c r="N358" i="28"/>
  <c r="W24" i="33"/>
  <c r="AD10" i="33"/>
  <c r="AE10" i="33"/>
  <c r="K391" i="28"/>
  <c r="Q391" i="28" s="1"/>
  <c r="M391" i="28"/>
  <c r="L391" i="28"/>
  <c r="N391" i="28"/>
  <c r="O391" i="28"/>
  <c r="J391" i="28"/>
  <c r="U362" i="28" l="1"/>
  <c r="U364" i="28" s="1"/>
  <c r="U358" i="28"/>
  <c r="U359" i="28" s="1"/>
  <c r="X24" i="33"/>
  <c r="P391" i="28"/>
  <c r="Y24" i="33" l="1"/>
  <c r="AA29" i="33" l="1"/>
  <c r="Z24" i="33"/>
  <c r="AD8" i="33" l="1"/>
  <c r="AA15" i="33"/>
  <c r="AA24" i="33"/>
  <c r="AA27" i="33" s="1"/>
  <c r="AD12" i="33"/>
  <c r="AD15" i="33" l="1"/>
  <c r="E5" i="5" l="1"/>
  <c r="E49" i="5" l="1"/>
  <c r="C5" i="33" s="1"/>
  <c r="D295" i="20" l="1"/>
  <c r="U79" i="20"/>
  <c r="U308" i="20" l="1"/>
  <c r="U316" i="20" s="1"/>
  <c r="V384" i="20"/>
  <c r="V392" i="20" s="1"/>
  <c r="V308" i="20"/>
  <c r="V316" i="20" s="1"/>
  <c r="V365" i="20"/>
  <c r="V373" i="20" s="1"/>
  <c r="V327" i="20"/>
  <c r="V335" i="20" s="1"/>
  <c r="V346" i="20"/>
  <c r="V354" i="20" s="1"/>
  <c r="Q22" i="5"/>
  <c r="S308" i="20"/>
  <c r="L384" i="20"/>
  <c r="L392" i="20" s="1"/>
  <c r="I365" i="20"/>
  <c r="I373" i="20" s="1"/>
  <c r="M365" i="20"/>
  <c r="M373" i="20" s="1"/>
  <c r="K346" i="20"/>
  <c r="K354" i="20" s="1"/>
  <c r="P346" i="20"/>
  <c r="P354" i="20" s="1"/>
  <c r="N327" i="20"/>
  <c r="N335" i="20" s="1"/>
  <c r="K308" i="20"/>
  <c r="K316" i="20" s="1"/>
  <c r="O308" i="20"/>
  <c r="O316" i="20" s="1"/>
  <c r="I384" i="20"/>
  <c r="I392" i="20" s="1"/>
  <c r="N384" i="20"/>
  <c r="N392" i="20" s="1"/>
  <c r="J365" i="20"/>
  <c r="J373" i="20" s="1"/>
  <c r="N365" i="20"/>
  <c r="N373" i="20" s="1"/>
  <c r="L346" i="20"/>
  <c r="L354" i="20" s="1"/>
  <c r="I327" i="20"/>
  <c r="I335" i="20" s="1"/>
  <c r="O327" i="20"/>
  <c r="O335" i="20" s="1"/>
  <c r="L308" i="20"/>
  <c r="L316" i="20" s="1"/>
  <c r="P308" i="20"/>
  <c r="P316" i="20" s="1"/>
  <c r="J384" i="20"/>
  <c r="J392" i="20" s="1"/>
  <c r="N346" i="20"/>
  <c r="N354" i="20" s="1"/>
  <c r="J327" i="20"/>
  <c r="J335" i="20" s="1"/>
  <c r="I308" i="20"/>
  <c r="I316" i="20" s="1"/>
  <c r="M308" i="20"/>
  <c r="M316" i="20" s="1"/>
  <c r="P384" i="20"/>
  <c r="P392" i="20" s="1"/>
  <c r="L365" i="20"/>
  <c r="L373" i="20" s="1"/>
  <c r="P365" i="20"/>
  <c r="P373" i="20" s="1"/>
  <c r="J346" i="20"/>
  <c r="J354" i="20" s="1"/>
  <c r="O346" i="20"/>
  <c r="O354" i="20" s="1"/>
  <c r="K327" i="20"/>
  <c r="K335" i="20" s="1"/>
  <c r="J308" i="20"/>
  <c r="J316" i="20" s="1"/>
  <c r="N308" i="20"/>
  <c r="N316" i="20" s="1"/>
  <c r="K384" i="20"/>
  <c r="K392" i="20" s="1"/>
  <c r="O365" i="20"/>
  <c r="O373" i="20" s="1"/>
  <c r="K365" i="20"/>
  <c r="K373" i="20" s="1"/>
  <c r="O384" i="20"/>
  <c r="O392" i="20" s="1"/>
  <c r="M384" i="20"/>
  <c r="M392" i="20" s="1"/>
  <c r="M346" i="20"/>
  <c r="M354" i="20" s="1"/>
  <c r="M327" i="20"/>
  <c r="M335" i="20" s="1"/>
  <c r="P327" i="20"/>
  <c r="P335" i="20" s="1"/>
  <c r="L327" i="20"/>
  <c r="L335" i="20" s="1"/>
  <c r="I346" i="20"/>
  <c r="I354" i="20" s="1"/>
  <c r="Q234" i="20" l="1"/>
  <c r="Q211" i="20"/>
  <c r="Q216" i="20" s="1"/>
  <c r="J112" i="20"/>
  <c r="K112" i="20"/>
  <c r="L112" i="20"/>
  <c r="M112" i="20"/>
  <c r="N112" i="20"/>
  <c r="O112" i="20"/>
  <c r="P112" i="20"/>
  <c r="Q112" i="20"/>
  <c r="R112" i="20"/>
  <c r="S112" i="20"/>
  <c r="T112" i="20"/>
  <c r="U112" i="20"/>
  <c r="J111" i="20"/>
  <c r="K111" i="20"/>
  <c r="L111" i="20"/>
  <c r="M111" i="20"/>
  <c r="N111" i="20"/>
  <c r="O111" i="20"/>
  <c r="P111" i="20"/>
  <c r="Q111" i="20"/>
  <c r="R111" i="20"/>
  <c r="S111" i="20"/>
  <c r="T111" i="20"/>
  <c r="U111" i="20"/>
  <c r="I70" i="7"/>
  <c r="J70" i="7"/>
  <c r="K70" i="7"/>
  <c r="L70" i="7"/>
  <c r="M70" i="7"/>
  <c r="N70" i="7"/>
  <c r="O70" i="7"/>
  <c r="P70" i="7"/>
  <c r="Q70" i="7"/>
  <c r="R70" i="7"/>
  <c r="S70" i="7"/>
  <c r="T70" i="7"/>
  <c r="H70" i="7"/>
  <c r="Q212" i="20" l="1"/>
  <c r="I113" i="20"/>
  <c r="I200" i="20" s="1"/>
  <c r="N113" i="20"/>
  <c r="N200" i="20" s="1"/>
  <c r="R113" i="20"/>
  <c r="R200" i="20" s="1"/>
  <c r="T113" i="20"/>
  <c r="T200" i="20" s="1"/>
  <c r="P113" i="20"/>
  <c r="P200" i="20" s="1"/>
  <c r="L113" i="20"/>
  <c r="L200" i="20" s="1"/>
  <c r="S113" i="20"/>
  <c r="S200" i="20" s="1"/>
  <c r="O113" i="20"/>
  <c r="O200" i="20" s="1"/>
  <c r="K113" i="20"/>
  <c r="K200" i="20" s="1"/>
  <c r="U113" i="20"/>
  <c r="U200" i="20" s="1"/>
  <c r="Q113" i="20"/>
  <c r="Q200" i="20" s="1"/>
  <c r="M113" i="20"/>
  <c r="M200" i="20" s="1"/>
  <c r="J113" i="20"/>
  <c r="J200" i="20" s="1"/>
  <c r="L228" i="20" l="1"/>
  <c r="L267" i="20"/>
  <c r="L215" i="20"/>
  <c r="L254" i="20"/>
  <c r="L241" i="20"/>
  <c r="J267" i="20"/>
  <c r="J215" i="20"/>
  <c r="J228" i="20"/>
  <c r="J254" i="20"/>
  <c r="J241" i="20"/>
  <c r="K215" i="20"/>
  <c r="K254" i="20"/>
  <c r="K241" i="20"/>
  <c r="K228" i="20"/>
  <c r="K267" i="20"/>
  <c r="P254" i="20"/>
  <c r="P267" i="20"/>
  <c r="P241" i="20"/>
  <c r="P215" i="20"/>
  <c r="P228" i="20"/>
  <c r="I228" i="20"/>
  <c r="I241" i="20"/>
  <c r="I215" i="20"/>
  <c r="I267" i="20"/>
  <c r="I254" i="20"/>
  <c r="N215" i="20"/>
  <c r="N228" i="20"/>
  <c r="N267" i="20"/>
  <c r="N241" i="20"/>
  <c r="N254" i="20"/>
  <c r="M267" i="20"/>
  <c r="M215" i="20"/>
  <c r="M254" i="20"/>
  <c r="M228" i="20"/>
  <c r="M241" i="20"/>
  <c r="O215" i="20"/>
  <c r="O228" i="20"/>
  <c r="O241" i="20"/>
  <c r="O267" i="20"/>
  <c r="O254" i="20"/>
  <c r="I61" i="2" l="1"/>
  <c r="J61" i="2"/>
  <c r="K61" i="2"/>
  <c r="L61" i="2"/>
  <c r="M61" i="2"/>
  <c r="N61" i="2"/>
  <c r="O61" i="2"/>
  <c r="P61" i="2"/>
  <c r="Q61" i="2"/>
  <c r="R61" i="2"/>
  <c r="S61" i="2"/>
  <c r="T61" i="2"/>
  <c r="J64" i="2" l="1"/>
  <c r="G5" i="5" s="1"/>
  <c r="I64" i="2"/>
  <c r="F5" i="5" s="1"/>
  <c r="T64" i="2"/>
  <c r="Q5" i="5" s="1"/>
  <c r="P64" i="2"/>
  <c r="M5" i="5" s="1"/>
  <c r="L64" i="2"/>
  <c r="I5" i="5" s="1"/>
  <c r="M64" i="2"/>
  <c r="J5" i="5" s="1"/>
  <c r="S64" i="2"/>
  <c r="P5" i="5" s="1"/>
  <c r="O64" i="2"/>
  <c r="L5" i="5" s="1"/>
  <c r="K64" i="2"/>
  <c r="H5" i="5" s="1"/>
  <c r="Q64" i="2"/>
  <c r="N5" i="5" s="1"/>
  <c r="R64" i="2"/>
  <c r="O5" i="5" s="1"/>
  <c r="N64" i="2"/>
  <c r="K5" i="5" s="1"/>
  <c r="S65" i="2"/>
  <c r="T65" i="2"/>
  <c r="J198" i="20"/>
  <c r="K198" i="20"/>
  <c r="L168" i="20"/>
  <c r="L198" i="20" s="1"/>
  <c r="M198" i="20"/>
  <c r="N168" i="20"/>
  <c r="N198" i="20" s="1"/>
  <c r="O168" i="20"/>
  <c r="O198" i="20" s="1"/>
  <c r="P168" i="20"/>
  <c r="P198" i="20" s="1"/>
  <c r="Q168" i="20"/>
  <c r="Q198" i="20" s="1"/>
  <c r="Q239" i="20" s="1"/>
  <c r="S168" i="20"/>
  <c r="S198" i="20" s="1"/>
  <c r="T168" i="20"/>
  <c r="T198" i="20" s="1"/>
  <c r="U198" i="20"/>
  <c r="K49" i="5" l="1"/>
  <c r="U49" i="5" s="1"/>
  <c r="T5" i="5"/>
  <c r="H49" i="5"/>
  <c r="I49" i="5"/>
  <c r="F49" i="5"/>
  <c r="D5" i="33" s="1"/>
  <c r="N49" i="5"/>
  <c r="J49" i="5"/>
  <c r="M49" i="5"/>
  <c r="O49" i="5"/>
  <c r="P49" i="5"/>
  <c r="L49" i="5"/>
  <c r="Q49" i="5"/>
  <c r="G49" i="5"/>
  <c r="U5" i="5"/>
  <c r="O16" i="5"/>
  <c r="H16" i="5"/>
  <c r="P16" i="5"/>
  <c r="I16" i="5"/>
  <c r="Q16" i="5"/>
  <c r="K16" i="5"/>
  <c r="N16" i="5"/>
  <c r="L16" i="5"/>
  <c r="J16" i="5"/>
  <c r="M16" i="5"/>
  <c r="I226" i="20"/>
  <c r="I230" i="20" s="1"/>
  <c r="I252" i="20"/>
  <c r="I256" i="20" s="1"/>
  <c r="I213" i="20"/>
  <c r="I217" i="20" s="1"/>
  <c r="I265" i="20"/>
  <c r="I239" i="20"/>
  <c r="I243" i="20" s="1"/>
  <c r="O226" i="20"/>
  <c r="O230" i="20" s="1"/>
  <c r="O252" i="20"/>
  <c r="O256" i="20" s="1"/>
  <c r="O213" i="20"/>
  <c r="O217" i="20" s="1"/>
  <c r="O239" i="20"/>
  <c r="O243" i="20" s="1"/>
  <c r="O265" i="20"/>
  <c r="K226" i="20"/>
  <c r="K230" i="20" s="1"/>
  <c r="K239" i="20"/>
  <c r="K243" i="20" s="1"/>
  <c r="K213" i="20"/>
  <c r="K217" i="20" s="1"/>
  <c r="K252" i="20"/>
  <c r="K256" i="20" s="1"/>
  <c r="K265" i="20"/>
  <c r="N265" i="20"/>
  <c r="N252" i="20"/>
  <c r="N256" i="20" s="1"/>
  <c r="N217" i="20"/>
  <c r="N226" i="20"/>
  <c r="N230" i="20" s="1"/>
  <c r="N239" i="20"/>
  <c r="N243" i="20" s="1"/>
  <c r="J252" i="20"/>
  <c r="J256" i="20" s="1"/>
  <c r="J239" i="20"/>
  <c r="J243" i="20" s="1"/>
  <c r="J213" i="20"/>
  <c r="J217" i="20" s="1"/>
  <c r="J265" i="20"/>
  <c r="J226" i="20"/>
  <c r="J230" i="20" s="1"/>
  <c r="M213" i="20"/>
  <c r="M217" i="20" s="1"/>
  <c r="M265" i="20"/>
  <c r="M226" i="20"/>
  <c r="M230" i="20" s="1"/>
  <c r="M239" i="20"/>
  <c r="M243" i="20" s="1"/>
  <c r="M252" i="20"/>
  <c r="M256" i="20" s="1"/>
  <c r="P226" i="20"/>
  <c r="P230" i="20" s="1"/>
  <c r="P252" i="20"/>
  <c r="P256" i="20" s="1"/>
  <c r="P265" i="20"/>
  <c r="P239" i="20"/>
  <c r="P243" i="20" s="1"/>
  <c r="P213" i="20"/>
  <c r="P217" i="20" s="1"/>
  <c r="L226" i="20"/>
  <c r="L230" i="20" s="1"/>
  <c r="L252" i="20"/>
  <c r="L256" i="20" s="1"/>
  <c r="L265" i="20"/>
  <c r="L213" i="20"/>
  <c r="L217" i="20" s="1"/>
  <c r="L239" i="20"/>
  <c r="L243" i="20" s="1"/>
  <c r="R157" i="20"/>
  <c r="S157" i="20"/>
  <c r="T157" i="20"/>
  <c r="U157" i="20"/>
  <c r="R210" i="20"/>
  <c r="R215" i="20" s="1"/>
  <c r="Q208" i="20"/>
  <c r="Q213" i="20" s="1"/>
  <c r="Q210" i="20"/>
  <c r="Q215" i="20" s="1"/>
  <c r="I5" i="33" l="1"/>
  <c r="I16" i="33" s="1"/>
  <c r="P269" i="20"/>
  <c r="P270" i="20" s="1"/>
  <c r="P271" i="20" s="1"/>
  <c r="O269" i="20"/>
  <c r="O270" i="20" s="1"/>
  <c r="O271" i="20" s="1"/>
  <c r="J269" i="20"/>
  <c r="J270" i="20" s="1"/>
  <c r="J271" i="20" s="1"/>
  <c r="N269" i="20"/>
  <c r="N270" i="20" s="1"/>
  <c r="N271" i="20" s="1"/>
  <c r="I269" i="20"/>
  <c r="I270" i="20" s="1"/>
  <c r="I271" i="20" s="1"/>
  <c r="L269" i="20"/>
  <c r="L270" i="20" s="1"/>
  <c r="M269" i="20"/>
  <c r="M270" i="20" s="1"/>
  <c r="M271" i="20" s="1"/>
  <c r="K269" i="20"/>
  <c r="K270" i="20" s="1"/>
  <c r="K271" i="20" s="1"/>
  <c r="E5" i="33"/>
  <c r="J5" i="33"/>
  <c r="M5" i="33"/>
  <c r="H5" i="33"/>
  <c r="F5" i="33"/>
  <c r="T49" i="5"/>
  <c r="N5" i="33"/>
  <c r="K5" i="33"/>
  <c r="L5" i="33"/>
  <c r="G5" i="33"/>
  <c r="O5" i="33"/>
  <c r="V49" i="5"/>
  <c r="U304" i="20"/>
  <c r="M274" i="20" l="1"/>
  <c r="L271" i="20"/>
  <c r="L274" i="20" s="1"/>
  <c r="X270" i="20"/>
  <c r="N274" i="20"/>
  <c r="O274" i="20"/>
  <c r="P274" i="20"/>
  <c r="K274" i="20"/>
  <c r="J274" i="20"/>
  <c r="K280" i="20"/>
  <c r="K275" i="20"/>
  <c r="K277" i="20"/>
  <c r="K276" i="20"/>
  <c r="O280" i="20"/>
  <c r="O277" i="20"/>
  <c r="O275" i="20"/>
  <c r="O276" i="20"/>
  <c r="N280" i="20"/>
  <c r="N275" i="20"/>
  <c r="N277" i="20"/>
  <c r="N276" i="20"/>
  <c r="I280" i="20"/>
  <c r="I275" i="20"/>
  <c r="I277" i="20"/>
  <c r="I276" i="20"/>
  <c r="I274" i="20"/>
  <c r="P280" i="20"/>
  <c r="P277" i="20"/>
  <c r="P275" i="20"/>
  <c r="P276" i="20"/>
  <c r="J280" i="20"/>
  <c r="J275" i="20"/>
  <c r="J277" i="20"/>
  <c r="J276" i="20"/>
  <c r="M280" i="20"/>
  <c r="M277" i="20"/>
  <c r="M275" i="20"/>
  <c r="M276" i="20"/>
  <c r="L16" i="33"/>
  <c r="H16" i="33"/>
  <c r="K16" i="33"/>
  <c r="N16" i="33"/>
  <c r="J16" i="33"/>
  <c r="G16" i="33"/>
  <c r="O16" i="33"/>
  <c r="AC5" i="33"/>
  <c r="F16" i="33"/>
  <c r="AC16" i="33" s="1"/>
  <c r="M16" i="33"/>
  <c r="U312" i="20"/>
  <c r="L280" i="20" l="1"/>
  <c r="L277" i="20"/>
  <c r="L275" i="20"/>
  <c r="L276" i="20"/>
  <c r="X271" i="20"/>
  <c r="N278" i="20"/>
  <c r="O278" i="20"/>
  <c r="M278" i="20"/>
  <c r="J278" i="20"/>
  <c r="P278" i="20"/>
  <c r="K278" i="20"/>
  <c r="I278" i="20"/>
  <c r="L278" i="20" l="1"/>
  <c r="Q306" i="20" l="1"/>
  <c r="Q314" i="20" s="1"/>
  <c r="I34" i="3" l="1"/>
  <c r="J34" i="3"/>
  <c r="K34" i="3"/>
  <c r="L34" i="3"/>
  <c r="M34" i="3"/>
  <c r="N34" i="3"/>
  <c r="H44" i="3" s="1"/>
  <c r="O34" i="3"/>
  <c r="P34" i="3"/>
  <c r="Q34" i="3"/>
  <c r="R34" i="3"/>
  <c r="S34" i="3"/>
  <c r="H34" i="3"/>
  <c r="H45" i="3" s="1"/>
  <c r="H47" i="3" l="1"/>
  <c r="H46" i="3"/>
  <c r="D45" i="12" l="1"/>
  <c r="E42" i="12" s="1"/>
  <c r="E45" i="12" l="1"/>
  <c r="E41" i="12"/>
  <c r="E44" i="12"/>
  <c r="E43" i="12"/>
  <c r="D296" i="20" l="1"/>
  <c r="D297" i="20"/>
  <c r="D298" i="20"/>
  <c r="D294" i="20"/>
  <c r="J307" i="20" s="1"/>
  <c r="U381" i="20"/>
  <c r="U382" i="20"/>
  <c r="T381" i="20"/>
  <c r="T382" i="20"/>
  <c r="T390" i="20" s="1"/>
  <c r="S381" i="20"/>
  <c r="S389" i="20" s="1"/>
  <c r="S382" i="20"/>
  <c r="S390" i="20" s="1"/>
  <c r="R381" i="20"/>
  <c r="R389" i="20" s="1"/>
  <c r="R382" i="20"/>
  <c r="R390" i="20" s="1"/>
  <c r="Q381" i="20"/>
  <c r="Q389" i="20" s="1"/>
  <c r="Q382" i="20"/>
  <c r="Q390" i="20" s="1"/>
  <c r="R380" i="20"/>
  <c r="R388" i="20" s="1"/>
  <c r="S380" i="20"/>
  <c r="S388" i="20" s="1"/>
  <c r="T380" i="20"/>
  <c r="U380" i="20"/>
  <c r="Q380" i="20"/>
  <c r="Q388" i="20" s="1"/>
  <c r="U362" i="20"/>
  <c r="U363" i="20"/>
  <c r="T362" i="20"/>
  <c r="T363" i="20"/>
  <c r="T371" i="20" s="1"/>
  <c r="S362" i="20"/>
  <c r="S370" i="20" s="1"/>
  <c r="S363" i="20"/>
  <c r="S371" i="20" s="1"/>
  <c r="R362" i="20"/>
  <c r="R370" i="20" s="1"/>
  <c r="R363" i="20"/>
  <c r="R371" i="20" s="1"/>
  <c r="R361" i="20"/>
  <c r="R369" i="20" s="1"/>
  <c r="Q362" i="20"/>
  <c r="Q370" i="20" s="1"/>
  <c r="Q363" i="20"/>
  <c r="Q371" i="20" s="1"/>
  <c r="S361" i="20"/>
  <c r="S369" i="20" s="1"/>
  <c r="T361" i="20"/>
  <c r="U361" i="20"/>
  <c r="Q361" i="20"/>
  <c r="Q369" i="20" s="1"/>
  <c r="U343" i="20"/>
  <c r="U344" i="20"/>
  <c r="T343" i="20"/>
  <c r="T344" i="20"/>
  <c r="T352" i="20" s="1"/>
  <c r="S343" i="20"/>
  <c r="S351" i="20" s="1"/>
  <c r="S344" i="20"/>
  <c r="S352" i="20" s="1"/>
  <c r="R343" i="20"/>
  <c r="R351" i="20" s="1"/>
  <c r="R344" i="20"/>
  <c r="R352" i="20" s="1"/>
  <c r="Q343" i="20"/>
  <c r="Q351" i="20" s="1"/>
  <c r="Q344" i="20"/>
  <c r="Q352" i="20" s="1"/>
  <c r="R342" i="20"/>
  <c r="R350" i="20" s="1"/>
  <c r="S342" i="20"/>
  <c r="S350" i="20" s="1"/>
  <c r="T342" i="20"/>
  <c r="U342" i="20"/>
  <c r="Q342" i="20"/>
  <c r="Q350" i="20" s="1"/>
  <c r="U324" i="20"/>
  <c r="U325" i="20"/>
  <c r="T324" i="20"/>
  <c r="T325" i="20"/>
  <c r="T333" i="20" s="1"/>
  <c r="S324" i="20"/>
  <c r="S332" i="20" s="1"/>
  <c r="S325" i="20"/>
  <c r="S333" i="20" s="1"/>
  <c r="R324" i="20"/>
  <c r="R332" i="20" s="1"/>
  <c r="R325" i="20"/>
  <c r="R333" i="20" s="1"/>
  <c r="Q324" i="20"/>
  <c r="Q332" i="20" s="1"/>
  <c r="Q325" i="20"/>
  <c r="Q333" i="20" s="1"/>
  <c r="R323" i="20"/>
  <c r="R331" i="20" s="1"/>
  <c r="S323" i="20"/>
  <c r="S331" i="20" s="1"/>
  <c r="T323" i="20"/>
  <c r="U323" i="20"/>
  <c r="Q323" i="20"/>
  <c r="Q331" i="20" s="1"/>
  <c r="U305" i="20"/>
  <c r="U306" i="20"/>
  <c r="U314" i="20" s="1"/>
  <c r="T305" i="20"/>
  <c r="T306" i="20"/>
  <c r="T314" i="20" s="1"/>
  <c r="S305" i="20"/>
  <c r="S313" i="20" s="1"/>
  <c r="S306" i="20"/>
  <c r="S314" i="20" s="1"/>
  <c r="R305" i="20"/>
  <c r="R313" i="20" s="1"/>
  <c r="R306" i="20"/>
  <c r="R314" i="20" s="1"/>
  <c r="R304" i="20"/>
  <c r="R312" i="20" s="1"/>
  <c r="S304" i="20"/>
  <c r="S312" i="20" s="1"/>
  <c r="T304" i="20"/>
  <c r="Q305" i="20"/>
  <c r="Q313" i="20" s="1"/>
  <c r="Q304" i="20"/>
  <c r="Q312" i="20" s="1"/>
  <c r="S210" i="20"/>
  <c r="S215" i="20" s="1"/>
  <c r="R211" i="20"/>
  <c r="R216" i="20" s="1"/>
  <c r="U263" i="20"/>
  <c r="U268" i="20" s="1"/>
  <c r="T263" i="20"/>
  <c r="T268" i="20" s="1"/>
  <c r="S263" i="20"/>
  <c r="S268" i="20" s="1"/>
  <c r="R263" i="20"/>
  <c r="R268" i="20" s="1"/>
  <c r="Q263" i="20"/>
  <c r="Q268" i="20" s="1"/>
  <c r="U262" i="20"/>
  <c r="U267" i="20" s="1"/>
  <c r="T262" i="20"/>
  <c r="T267" i="20" s="1"/>
  <c r="S262" i="20"/>
  <c r="S267" i="20" s="1"/>
  <c r="R262" i="20"/>
  <c r="R267" i="20" s="1"/>
  <c r="Q262" i="20"/>
  <c r="Q267" i="20" s="1"/>
  <c r="U261" i="20"/>
  <c r="U266" i="20" s="1"/>
  <c r="T261" i="20"/>
  <c r="T266" i="20" s="1"/>
  <c r="S261" i="20"/>
  <c r="S266" i="20" s="1"/>
  <c r="R261" i="20"/>
  <c r="R266" i="20" s="1"/>
  <c r="Q261" i="20"/>
  <c r="Q266" i="20" s="1"/>
  <c r="U260" i="20"/>
  <c r="T260" i="20"/>
  <c r="S260" i="20"/>
  <c r="S265" i="20" s="1"/>
  <c r="R260" i="20"/>
  <c r="R265" i="20" s="1"/>
  <c r="Q260" i="20"/>
  <c r="Q265" i="20" s="1"/>
  <c r="U264" i="20"/>
  <c r="T259" i="20"/>
  <c r="T264" i="20" s="1"/>
  <c r="S259" i="20"/>
  <c r="S264" i="20" s="1"/>
  <c r="R259" i="20"/>
  <c r="R264" i="20" s="1"/>
  <c r="Q259" i="20"/>
  <c r="Q264" i="20" s="1"/>
  <c r="U250" i="20"/>
  <c r="U255" i="20" s="1"/>
  <c r="T250" i="20"/>
  <c r="T255" i="20" s="1"/>
  <c r="S250" i="20"/>
  <c r="S255" i="20" s="1"/>
  <c r="R250" i="20"/>
  <c r="R255" i="20" s="1"/>
  <c r="Q250" i="20"/>
  <c r="Q255" i="20" s="1"/>
  <c r="U249" i="20"/>
  <c r="U254" i="20" s="1"/>
  <c r="T249" i="20"/>
  <c r="T254" i="20" s="1"/>
  <c r="S249" i="20"/>
  <c r="S254" i="20" s="1"/>
  <c r="R249" i="20"/>
  <c r="R254" i="20" s="1"/>
  <c r="Q249" i="20"/>
  <c r="Q254" i="20" s="1"/>
  <c r="U248" i="20"/>
  <c r="U253" i="20" s="1"/>
  <c r="T248" i="20"/>
  <c r="T253" i="20" s="1"/>
  <c r="S248" i="20"/>
  <c r="S253" i="20" s="1"/>
  <c r="R248" i="20"/>
  <c r="R253" i="20" s="1"/>
  <c r="Q248" i="20"/>
  <c r="Q253" i="20" s="1"/>
  <c r="U247" i="20"/>
  <c r="T247" i="20"/>
  <c r="S247" i="20"/>
  <c r="S252" i="20" s="1"/>
  <c r="R247" i="20"/>
  <c r="R252" i="20" s="1"/>
  <c r="Q247" i="20"/>
  <c r="Q252" i="20" s="1"/>
  <c r="U246" i="20"/>
  <c r="U251" i="20" s="1"/>
  <c r="T246" i="20"/>
  <c r="T251" i="20" s="1"/>
  <c r="S246" i="20"/>
  <c r="S251" i="20" s="1"/>
  <c r="R246" i="20"/>
  <c r="R251" i="20" s="1"/>
  <c r="Q246" i="20"/>
  <c r="Q251" i="20" s="1"/>
  <c r="U237" i="20"/>
  <c r="U242" i="20" s="1"/>
  <c r="T237" i="20"/>
  <c r="T242" i="20" s="1"/>
  <c r="S237" i="20"/>
  <c r="S242" i="20" s="1"/>
  <c r="R237" i="20"/>
  <c r="R242" i="20" s="1"/>
  <c r="Q237" i="20"/>
  <c r="Q242" i="20" s="1"/>
  <c r="U236" i="20"/>
  <c r="U241" i="20" s="1"/>
  <c r="T236" i="20"/>
  <c r="T241" i="20" s="1"/>
  <c r="S236" i="20"/>
  <c r="S241" i="20" s="1"/>
  <c r="R236" i="20"/>
  <c r="R241" i="20" s="1"/>
  <c r="Q236" i="20"/>
  <c r="Q241" i="20" s="1"/>
  <c r="U235" i="20"/>
  <c r="U240" i="20" s="1"/>
  <c r="T235" i="20"/>
  <c r="T240" i="20" s="1"/>
  <c r="S235" i="20"/>
  <c r="S240" i="20" s="1"/>
  <c r="R235" i="20"/>
  <c r="R240" i="20" s="1"/>
  <c r="Q235" i="20"/>
  <c r="Q240" i="20" s="1"/>
  <c r="U234" i="20"/>
  <c r="T234" i="20"/>
  <c r="S234" i="20"/>
  <c r="S239" i="20" s="1"/>
  <c r="R234" i="20"/>
  <c r="R239" i="20" s="1"/>
  <c r="U233" i="20"/>
  <c r="U238" i="20" s="1"/>
  <c r="T233" i="20"/>
  <c r="T238" i="20" s="1"/>
  <c r="S233" i="20"/>
  <c r="S238" i="20" s="1"/>
  <c r="R233" i="20"/>
  <c r="R238" i="20" s="1"/>
  <c r="Q233" i="20"/>
  <c r="Q238" i="20" s="1"/>
  <c r="U224" i="20"/>
  <c r="U229" i="20" s="1"/>
  <c r="T224" i="20"/>
  <c r="T229" i="20" s="1"/>
  <c r="S224" i="20"/>
  <c r="S229" i="20" s="1"/>
  <c r="R224" i="20"/>
  <c r="R229" i="20" s="1"/>
  <c r="Q224" i="20"/>
  <c r="Q229" i="20" s="1"/>
  <c r="U223" i="20"/>
  <c r="U228" i="20" s="1"/>
  <c r="T223" i="20"/>
  <c r="T228" i="20" s="1"/>
  <c r="S223" i="20"/>
  <c r="S228" i="20" s="1"/>
  <c r="R223" i="20"/>
  <c r="R228" i="20" s="1"/>
  <c r="Q223" i="20"/>
  <c r="Q228" i="20" s="1"/>
  <c r="U222" i="20"/>
  <c r="U227" i="20" s="1"/>
  <c r="T222" i="20"/>
  <c r="T227" i="20" s="1"/>
  <c r="S222" i="20"/>
  <c r="S227" i="20" s="1"/>
  <c r="R222" i="20"/>
  <c r="R227" i="20" s="1"/>
  <c r="Q222" i="20"/>
  <c r="Q227" i="20" s="1"/>
  <c r="U221" i="20"/>
  <c r="T221" i="20"/>
  <c r="S221" i="20"/>
  <c r="S226" i="20" s="1"/>
  <c r="Q226" i="20"/>
  <c r="U220" i="20"/>
  <c r="U225" i="20" s="1"/>
  <c r="T220" i="20"/>
  <c r="T225" i="20" s="1"/>
  <c r="S220" i="20"/>
  <c r="S225" i="20" s="1"/>
  <c r="R220" i="20"/>
  <c r="R225" i="20" s="1"/>
  <c r="Q220" i="20"/>
  <c r="Q225" i="20" s="1"/>
  <c r="U211" i="20"/>
  <c r="U216" i="20" s="1"/>
  <c r="T211" i="20"/>
  <c r="T216" i="20" s="1"/>
  <c r="S211" i="20"/>
  <c r="S216" i="20" s="1"/>
  <c r="U210" i="20"/>
  <c r="U215" i="20" s="1"/>
  <c r="T210" i="20"/>
  <c r="T215" i="20" s="1"/>
  <c r="U209" i="20"/>
  <c r="T209" i="20"/>
  <c r="T214" i="20" s="1"/>
  <c r="S209" i="20"/>
  <c r="S214" i="20" s="1"/>
  <c r="R209" i="20"/>
  <c r="R214" i="20" s="1"/>
  <c r="Q209" i="20"/>
  <c r="Q214" i="20" s="1"/>
  <c r="U208" i="20"/>
  <c r="T208" i="20"/>
  <c r="T213" i="20" s="1"/>
  <c r="S208" i="20"/>
  <c r="S213" i="20" s="1"/>
  <c r="R208" i="20"/>
  <c r="R213" i="20" s="1"/>
  <c r="U207" i="20"/>
  <c r="T207" i="20"/>
  <c r="T212" i="20" s="1"/>
  <c r="S207" i="20"/>
  <c r="S212" i="20" s="1"/>
  <c r="R207" i="20"/>
  <c r="R212" i="20" s="1"/>
  <c r="E130" i="20"/>
  <c r="F126" i="20" s="1"/>
  <c r="D130" i="20"/>
  <c r="U313" i="20" l="1"/>
  <c r="U214" i="20"/>
  <c r="U212" i="20"/>
  <c r="U213" i="20"/>
  <c r="U307" i="20"/>
  <c r="U315" i="20" s="1"/>
  <c r="V345" i="20"/>
  <c r="V353" i="20" s="1"/>
  <c r="V307" i="20"/>
  <c r="V315" i="20" s="1"/>
  <c r="V383" i="20"/>
  <c r="V391" i="20" s="1"/>
  <c r="V364" i="20"/>
  <c r="V372" i="20" s="1"/>
  <c r="V326" i="20"/>
  <c r="V334" i="20" s="1"/>
  <c r="U311" i="20"/>
  <c r="U319" i="20" s="1"/>
  <c r="V349" i="20"/>
  <c r="V357" i="20" s="1"/>
  <c r="V330" i="20"/>
  <c r="V338" i="20" s="1"/>
  <c r="V387" i="20"/>
  <c r="V395" i="20" s="1"/>
  <c r="V311" i="20"/>
  <c r="V319" i="20" s="1"/>
  <c r="V368" i="20"/>
  <c r="V376" i="20" s="1"/>
  <c r="U310" i="20"/>
  <c r="U318" i="20" s="1"/>
  <c r="V386" i="20"/>
  <c r="V394" i="20" s="1"/>
  <c r="V348" i="20"/>
  <c r="V356" i="20" s="1"/>
  <c r="V367" i="20"/>
  <c r="V375" i="20" s="1"/>
  <c r="V329" i="20"/>
  <c r="V337" i="20" s="1"/>
  <c r="V310" i="20"/>
  <c r="V318" i="20" s="1"/>
  <c r="U309" i="20"/>
  <c r="U317" i="20" s="1"/>
  <c r="V385" i="20"/>
  <c r="V393" i="20" s="1"/>
  <c r="V328" i="20"/>
  <c r="V336" i="20" s="1"/>
  <c r="D530" i="20" s="1"/>
  <c r="V309" i="20"/>
  <c r="V317" i="20" s="1"/>
  <c r="V347" i="20"/>
  <c r="V355" i="20" s="1"/>
  <c r="V366" i="20"/>
  <c r="V374" i="20" s="1"/>
  <c r="T387" i="20"/>
  <c r="T395" i="20" s="1"/>
  <c r="I387" i="20"/>
  <c r="I395" i="20" s="1"/>
  <c r="N387" i="20"/>
  <c r="N395" i="20" s="1"/>
  <c r="I368" i="20"/>
  <c r="I376" i="20" s="1"/>
  <c r="M368" i="20"/>
  <c r="M376" i="20" s="1"/>
  <c r="J349" i="20"/>
  <c r="J357" i="20" s="1"/>
  <c r="O349" i="20"/>
  <c r="O357" i="20" s="1"/>
  <c r="K330" i="20"/>
  <c r="K338" i="20" s="1"/>
  <c r="K311" i="20"/>
  <c r="K319" i="20" s="1"/>
  <c r="O311" i="20"/>
  <c r="O319" i="20" s="1"/>
  <c r="J387" i="20"/>
  <c r="J395" i="20" s="1"/>
  <c r="J368" i="20"/>
  <c r="J376" i="20" s="1"/>
  <c r="N368" i="20"/>
  <c r="N376" i="20" s="1"/>
  <c r="P349" i="20"/>
  <c r="P357" i="20" s="1"/>
  <c r="N330" i="20"/>
  <c r="N338" i="20" s="1"/>
  <c r="L311" i="20"/>
  <c r="L319" i="20" s="1"/>
  <c r="P311" i="20"/>
  <c r="P319" i="20" s="1"/>
  <c r="L349" i="20"/>
  <c r="L357" i="20" s="1"/>
  <c r="I330" i="20"/>
  <c r="I338" i="20" s="1"/>
  <c r="I311" i="20"/>
  <c r="I319" i="20" s="1"/>
  <c r="M311" i="20"/>
  <c r="M319" i="20" s="1"/>
  <c r="L368" i="20"/>
  <c r="L376" i="20" s="1"/>
  <c r="P368" i="20"/>
  <c r="P376" i="20" s="1"/>
  <c r="N349" i="20"/>
  <c r="N357" i="20" s="1"/>
  <c r="J330" i="20"/>
  <c r="J338" i="20" s="1"/>
  <c r="J311" i="20"/>
  <c r="J319" i="20" s="1"/>
  <c r="N311" i="20"/>
  <c r="N319" i="20" s="1"/>
  <c r="O330" i="20"/>
  <c r="O338" i="20" s="1"/>
  <c r="O368" i="20"/>
  <c r="O376" i="20" s="1"/>
  <c r="P387" i="20"/>
  <c r="P395" i="20" s="1"/>
  <c r="L330" i="20"/>
  <c r="L338" i="20" s="1"/>
  <c r="K368" i="20"/>
  <c r="K376" i="20" s="1"/>
  <c r="L387" i="20"/>
  <c r="L395" i="20" s="1"/>
  <c r="M387" i="20"/>
  <c r="M395" i="20" s="1"/>
  <c r="O387" i="20"/>
  <c r="O395" i="20" s="1"/>
  <c r="K387" i="20"/>
  <c r="K395" i="20" s="1"/>
  <c r="I349" i="20"/>
  <c r="I357" i="20" s="1"/>
  <c r="K349" i="20"/>
  <c r="K357" i="20" s="1"/>
  <c r="M330" i="20"/>
  <c r="M338" i="20" s="1"/>
  <c r="P330" i="20"/>
  <c r="P338" i="20" s="1"/>
  <c r="M349" i="20"/>
  <c r="M357" i="20" s="1"/>
  <c r="J386" i="20"/>
  <c r="J394" i="20" s="1"/>
  <c r="O386" i="20"/>
  <c r="O394" i="20" s="1"/>
  <c r="I367" i="20"/>
  <c r="I375" i="20" s="1"/>
  <c r="M367" i="20"/>
  <c r="M375" i="20" s="1"/>
  <c r="L348" i="20"/>
  <c r="L356" i="20" s="1"/>
  <c r="J329" i="20"/>
  <c r="J337" i="20" s="1"/>
  <c r="K310" i="20"/>
  <c r="K318" i="20" s="1"/>
  <c r="O310" i="20"/>
  <c r="O318" i="20" s="1"/>
  <c r="P386" i="20"/>
  <c r="P394" i="20" s="1"/>
  <c r="J367" i="20"/>
  <c r="J375" i="20" s="1"/>
  <c r="N367" i="20"/>
  <c r="N375" i="20" s="1"/>
  <c r="N348" i="20"/>
  <c r="N356" i="20" s="1"/>
  <c r="K329" i="20"/>
  <c r="K337" i="20" s="1"/>
  <c r="L310" i="20"/>
  <c r="L318" i="20" s="1"/>
  <c r="P310" i="20"/>
  <c r="P318" i="20" s="1"/>
  <c r="L386" i="20"/>
  <c r="L394" i="20" s="1"/>
  <c r="J348" i="20"/>
  <c r="J356" i="20" s="1"/>
  <c r="N329" i="20"/>
  <c r="N337" i="20" s="1"/>
  <c r="I310" i="20"/>
  <c r="I318" i="20" s="1"/>
  <c r="M310" i="20"/>
  <c r="M318" i="20" s="1"/>
  <c r="I386" i="20"/>
  <c r="I394" i="20" s="1"/>
  <c r="N386" i="20"/>
  <c r="N394" i="20" s="1"/>
  <c r="L367" i="20"/>
  <c r="L375" i="20" s="1"/>
  <c r="P367" i="20"/>
  <c r="P375" i="20" s="1"/>
  <c r="K348" i="20"/>
  <c r="K356" i="20" s="1"/>
  <c r="P348" i="20"/>
  <c r="P356" i="20" s="1"/>
  <c r="I329" i="20"/>
  <c r="I337" i="20" s="1"/>
  <c r="O329" i="20"/>
  <c r="O337" i="20" s="1"/>
  <c r="J310" i="20"/>
  <c r="J318" i="20" s="1"/>
  <c r="N310" i="20"/>
  <c r="N318" i="20" s="1"/>
  <c r="O367" i="20"/>
  <c r="O375" i="20" s="1"/>
  <c r="M348" i="20"/>
  <c r="M356" i="20" s="1"/>
  <c r="K367" i="20"/>
  <c r="K375" i="20" s="1"/>
  <c r="P329" i="20"/>
  <c r="P337" i="20" s="1"/>
  <c r="I348" i="20"/>
  <c r="I356" i="20" s="1"/>
  <c r="L329" i="20"/>
  <c r="L337" i="20" s="1"/>
  <c r="K386" i="20"/>
  <c r="K394" i="20" s="1"/>
  <c r="O348" i="20"/>
  <c r="O356" i="20" s="1"/>
  <c r="M386" i="20"/>
  <c r="M394" i="20" s="1"/>
  <c r="M329" i="20"/>
  <c r="M337" i="20" s="1"/>
  <c r="I383" i="20"/>
  <c r="I391" i="20" s="1"/>
  <c r="N383" i="20"/>
  <c r="N391" i="20" s="1"/>
  <c r="I364" i="20"/>
  <c r="I372" i="20" s="1"/>
  <c r="M364" i="20"/>
  <c r="M372" i="20" s="1"/>
  <c r="N345" i="20"/>
  <c r="N353" i="20" s="1"/>
  <c r="K326" i="20"/>
  <c r="K334" i="20" s="1"/>
  <c r="K307" i="20"/>
  <c r="K315" i="20" s="1"/>
  <c r="O307" i="20"/>
  <c r="O315" i="20" s="1"/>
  <c r="J383" i="20"/>
  <c r="J391" i="20" s="1"/>
  <c r="J364" i="20"/>
  <c r="J372" i="20" s="1"/>
  <c r="N364" i="20"/>
  <c r="N372" i="20" s="1"/>
  <c r="J345" i="20"/>
  <c r="J353" i="20" s="1"/>
  <c r="N326" i="20"/>
  <c r="N334" i="20" s="1"/>
  <c r="L307" i="20"/>
  <c r="L315" i="20" s="1"/>
  <c r="P307" i="20"/>
  <c r="P315" i="20" s="1"/>
  <c r="P383" i="20"/>
  <c r="P391" i="20" s="1"/>
  <c r="P345" i="20"/>
  <c r="P353" i="20" s="1"/>
  <c r="I326" i="20"/>
  <c r="I334" i="20" s="1"/>
  <c r="O326" i="20"/>
  <c r="O334" i="20" s="1"/>
  <c r="I307" i="20"/>
  <c r="I315" i="20" s="1"/>
  <c r="M307" i="20"/>
  <c r="M315" i="20" s="1"/>
  <c r="L383" i="20"/>
  <c r="L391" i="20" s="1"/>
  <c r="L364" i="20"/>
  <c r="L372" i="20" s="1"/>
  <c r="P364" i="20"/>
  <c r="P372" i="20" s="1"/>
  <c r="L345" i="20"/>
  <c r="L353" i="20" s="1"/>
  <c r="J326" i="20"/>
  <c r="J334" i="20" s="1"/>
  <c r="J315" i="20"/>
  <c r="N307" i="20"/>
  <c r="N315" i="20" s="1"/>
  <c r="K383" i="20"/>
  <c r="K391" i="20" s="1"/>
  <c r="M383" i="20"/>
  <c r="M391" i="20" s="1"/>
  <c r="M326" i="20"/>
  <c r="M334" i="20" s="1"/>
  <c r="L326" i="20"/>
  <c r="L334" i="20" s="1"/>
  <c r="O383" i="20"/>
  <c r="O391" i="20" s="1"/>
  <c r="K345" i="20"/>
  <c r="K353" i="20" s="1"/>
  <c r="O364" i="20"/>
  <c r="O372" i="20" s="1"/>
  <c r="O345" i="20"/>
  <c r="O353" i="20" s="1"/>
  <c r="M345" i="20"/>
  <c r="M353" i="20" s="1"/>
  <c r="I345" i="20"/>
  <c r="I353" i="20" s="1"/>
  <c r="K364" i="20"/>
  <c r="K372" i="20" s="1"/>
  <c r="P326" i="20"/>
  <c r="P334" i="20" s="1"/>
  <c r="U385" i="20"/>
  <c r="U393" i="20" s="1"/>
  <c r="K385" i="20"/>
  <c r="K393" i="20" s="1"/>
  <c r="P385" i="20"/>
  <c r="P393" i="20" s="1"/>
  <c r="I366" i="20"/>
  <c r="I374" i="20" s="1"/>
  <c r="M366" i="20"/>
  <c r="M374" i="20" s="1"/>
  <c r="J347" i="20"/>
  <c r="J355" i="20" s="1"/>
  <c r="N347" i="20"/>
  <c r="N355" i="20" s="1"/>
  <c r="I328" i="20"/>
  <c r="I336" i="20" s="1"/>
  <c r="O328" i="20"/>
  <c r="O336" i="20" s="1"/>
  <c r="K309" i="20"/>
  <c r="K317" i="20" s="1"/>
  <c r="O309" i="20"/>
  <c r="O317" i="20" s="1"/>
  <c r="L385" i="20"/>
  <c r="L393" i="20" s="1"/>
  <c r="J366" i="20"/>
  <c r="J374" i="20" s="1"/>
  <c r="N366" i="20"/>
  <c r="N374" i="20" s="1"/>
  <c r="J328" i="20"/>
  <c r="J336" i="20" s="1"/>
  <c r="L309" i="20"/>
  <c r="L317" i="20" s="1"/>
  <c r="P309" i="20"/>
  <c r="P317" i="20" s="1"/>
  <c r="I385" i="20"/>
  <c r="I393" i="20" s="1"/>
  <c r="N385" i="20"/>
  <c r="N393" i="20" s="1"/>
  <c r="L347" i="20"/>
  <c r="L355" i="20" s="1"/>
  <c r="P347" i="20"/>
  <c r="P355" i="20" s="1"/>
  <c r="I309" i="20"/>
  <c r="I317" i="20" s="1"/>
  <c r="M309" i="20"/>
  <c r="M317" i="20" s="1"/>
  <c r="J385" i="20"/>
  <c r="J393" i="20" s="1"/>
  <c r="L366" i="20"/>
  <c r="L374" i="20" s="1"/>
  <c r="P366" i="20"/>
  <c r="P374" i="20" s="1"/>
  <c r="M347" i="20"/>
  <c r="M355" i="20" s="1"/>
  <c r="N328" i="20"/>
  <c r="N336" i="20" s="1"/>
  <c r="J309" i="20"/>
  <c r="J317" i="20" s="1"/>
  <c r="N309" i="20"/>
  <c r="N317" i="20" s="1"/>
  <c r="L328" i="20"/>
  <c r="L336" i="20" s="1"/>
  <c r="I347" i="20"/>
  <c r="I355" i="20" s="1"/>
  <c r="K328" i="20"/>
  <c r="K336" i="20" s="1"/>
  <c r="O385" i="20"/>
  <c r="O393" i="20" s="1"/>
  <c r="O347" i="20"/>
  <c r="O355" i="20" s="1"/>
  <c r="O366" i="20"/>
  <c r="O374" i="20" s="1"/>
  <c r="M385" i="20"/>
  <c r="M393" i="20" s="1"/>
  <c r="M328" i="20"/>
  <c r="M336" i="20" s="1"/>
  <c r="K366" i="20"/>
  <c r="K374" i="20" s="1"/>
  <c r="K347" i="20"/>
  <c r="K355" i="20" s="1"/>
  <c r="P328" i="20"/>
  <c r="P336" i="20" s="1"/>
  <c r="Q307" i="20"/>
  <c r="Q315" i="20" s="1"/>
  <c r="S307" i="20"/>
  <c r="S315" i="20" s="1"/>
  <c r="U386" i="20"/>
  <c r="U394" i="20" s="1"/>
  <c r="U368" i="20"/>
  <c r="U376" i="20" s="1"/>
  <c r="S387" i="20"/>
  <c r="S395" i="20" s="1"/>
  <c r="Q368" i="20"/>
  <c r="Q376" i="20" s="1"/>
  <c r="R368" i="20"/>
  <c r="R376" i="20" s="1"/>
  <c r="T311" i="20"/>
  <c r="T319" i="20" s="1"/>
  <c r="T331" i="20"/>
  <c r="U369" i="20"/>
  <c r="U370" i="20"/>
  <c r="U389" i="20"/>
  <c r="T312" i="20"/>
  <c r="T332" i="20"/>
  <c r="U350" i="20"/>
  <c r="U352" i="20"/>
  <c r="T369" i="20"/>
  <c r="T370" i="20"/>
  <c r="R308" i="20"/>
  <c r="R316" i="20" s="1"/>
  <c r="Q384" i="20"/>
  <c r="Q392" i="20" s="1"/>
  <c r="U332" i="20"/>
  <c r="U371" i="20"/>
  <c r="T388" i="20"/>
  <c r="U390" i="20"/>
  <c r="T351" i="20"/>
  <c r="T313" i="20"/>
  <c r="U331" i="20"/>
  <c r="U333" i="20"/>
  <c r="T350" i="20"/>
  <c r="U351" i="20"/>
  <c r="U388" i="20"/>
  <c r="T389" i="20"/>
  <c r="Q311" i="20"/>
  <c r="Q319" i="20" s="1"/>
  <c r="R330" i="20"/>
  <c r="R338" i="20" s="1"/>
  <c r="U349" i="20"/>
  <c r="R243" i="20"/>
  <c r="R256" i="20"/>
  <c r="Q269" i="20"/>
  <c r="S230" i="20"/>
  <c r="S368" i="20"/>
  <c r="S376" i="20" s="1"/>
  <c r="Q217" i="20"/>
  <c r="U252" i="20"/>
  <c r="U256" i="20" s="1"/>
  <c r="S256" i="20"/>
  <c r="U265" i="20"/>
  <c r="Q230" i="20"/>
  <c r="T226" i="20"/>
  <c r="T230" i="20" s="1"/>
  <c r="T239" i="20"/>
  <c r="T243" i="20" s="1"/>
  <c r="S269" i="20"/>
  <c r="S217" i="20"/>
  <c r="T265" i="20"/>
  <c r="S243" i="20"/>
  <c r="R269" i="20"/>
  <c r="R217" i="20"/>
  <c r="R230" i="20"/>
  <c r="U226" i="20"/>
  <c r="U230" i="20" s="1"/>
  <c r="Q243" i="20"/>
  <c r="U239" i="20"/>
  <c r="U243" i="20" s="1"/>
  <c r="Q256" i="20"/>
  <c r="T252" i="20"/>
  <c r="T256" i="20" s="1"/>
  <c r="Q330" i="20"/>
  <c r="Q338" i="20" s="1"/>
  <c r="T330" i="20"/>
  <c r="T338" i="20" s="1"/>
  <c r="R349" i="20"/>
  <c r="R357" i="20" s="1"/>
  <c r="U346" i="20"/>
  <c r="U330" i="20"/>
  <c r="Q349" i="20"/>
  <c r="Q357" i="20" s="1"/>
  <c r="R387" i="20"/>
  <c r="R395" i="20" s="1"/>
  <c r="U387" i="20"/>
  <c r="Q387" i="20"/>
  <c r="Q395" i="20" s="1"/>
  <c r="T349" i="20"/>
  <c r="T357" i="20" s="1"/>
  <c r="R307" i="20"/>
  <c r="R315" i="20" s="1"/>
  <c r="R311" i="20"/>
  <c r="R319" i="20" s="1"/>
  <c r="S311" i="20"/>
  <c r="S319" i="20" s="1"/>
  <c r="S330" i="20"/>
  <c r="S338" i="20" s="1"/>
  <c r="S349" i="20"/>
  <c r="S357" i="20" s="1"/>
  <c r="T368" i="20"/>
  <c r="T376" i="20" s="1"/>
  <c r="Q364" i="20"/>
  <c r="Q372" i="20" s="1"/>
  <c r="Q346" i="20"/>
  <c r="Q354" i="20" s="1"/>
  <c r="R345" i="20"/>
  <c r="R353" i="20" s="1"/>
  <c r="U365" i="20"/>
  <c r="R383" i="20"/>
  <c r="R391" i="20" s="1"/>
  <c r="S385" i="20"/>
  <c r="S393" i="20" s="1"/>
  <c r="T385" i="20"/>
  <c r="T393" i="20" s="1"/>
  <c r="R385" i="20"/>
  <c r="R393" i="20" s="1"/>
  <c r="Q327" i="20"/>
  <c r="Q335" i="20" s="1"/>
  <c r="R328" i="20"/>
  <c r="R336" i="20" s="1"/>
  <c r="S328" i="20"/>
  <c r="S336" i="20" s="1"/>
  <c r="T328" i="20"/>
  <c r="T336" i="20" s="1"/>
  <c r="U328" i="20"/>
  <c r="R310" i="20"/>
  <c r="R318" i="20" s="1"/>
  <c r="Q310" i="20"/>
  <c r="Q318" i="20" s="1"/>
  <c r="S309" i="20"/>
  <c r="S317" i="20" s="1"/>
  <c r="T309" i="20"/>
  <c r="T317" i="20" s="1"/>
  <c r="Q347" i="20"/>
  <c r="Q355" i="20" s="1"/>
  <c r="Q366" i="20"/>
  <c r="Q374" i="20" s="1"/>
  <c r="R347" i="20"/>
  <c r="R355" i="20" s="1"/>
  <c r="S366" i="20"/>
  <c r="S374" i="20" s="1"/>
  <c r="T366" i="20"/>
  <c r="T374" i="20" s="1"/>
  <c r="U366" i="20"/>
  <c r="U329" i="20"/>
  <c r="S347" i="20"/>
  <c r="S355" i="20" s="1"/>
  <c r="T348" i="20"/>
  <c r="T356" i="20" s="1"/>
  <c r="R366" i="20"/>
  <c r="R374" i="20" s="1"/>
  <c r="Q385" i="20"/>
  <c r="Q393" i="20" s="1"/>
  <c r="S383" i="20"/>
  <c r="S391" i="20" s="1"/>
  <c r="Q309" i="20"/>
  <c r="Q317" i="20" s="1"/>
  <c r="R309" i="20"/>
  <c r="R317" i="20" s="1"/>
  <c r="Q328" i="20"/>
  <c r="Q336" i="20" s="1"/>
  <c r="R329" i="20"/>
  <c r="R337" i="20" s="1"/>
  <c r="U327" i="20"/>
  <c r="T347" i="20"/>
  <c r="T355" i="20" s="1"/>
  <c r="U347" i="20"/>
  <c r="R364" i="20"/>
  <c r="R372" i="20" s="1"/>
  <c r="S367" i="20"/>
  <c r="S375" i="20" s="1"/>
  <c r="R348" i="20"/>
  <c r="R356" i="20" s="1"/>
  <c r="U348" i="20"/>
  <c r="T367" i="20"/>
  <c r="T375" i="20" s="1"/>
  <c r="Q386" i="20"/>
  <c r="Q394" i="20" s="1"/>
  <c r="S386" i="20"/>
  <c r="S394" i="20" s="1"/>
  <c r="S310" i="20"/>
  <c r="S318" i="20" s="1"/>
  <c r="S329" i="20"/>
  <c r="S337" i="20" s="1"/>
  <c r="R367" i="20"/>
  <c r="R375" i="20" s="1"/>
  <c r="U367" i="20"/>
  <c r="T386" i="20"/>
  <c r="T394" i="20" s="1"/>
  <c r="T310" i="20"/>
  <c r="T318" i="20" s="1"/>
  <c r="Q329" i="20"/>
  <c r="Q337" i="20" s="1"/>
  <c r="T329" i="20"/>
  <c r="T337" i="20" s="1"/>
  <c r="Q348" i="20"/>
  <c r="Q356" i="20" s="1"/>
  <c r="S348" i="20"/>
  <c r="S356" i="20" s="1"/>
  <c r="Q367" i="20"/>
  <c r="Q375" i="20" s="1"/>
  <c r="R386" i="20"/>
  <c r="R394" i="20" s="1"/>
  <c r="T308" i="20"/>
  <c r="T316" i="20" s="1"/>
  <c r="Q326" i="20"/>
  <c r="Q334" i="20" s="1"/>
  <c r="T327" i="20"/>
  <c r="T335" i="20" s="1"/>
  <c r="U326" i="20"/>
  <c r="Q345" i="20"/>
  <c r="Q353" i="20" s="1"/>
  <c r="T346" i="20"/>
  <c r="T354" i="20" s="1"/>
  <c r="U345" i="20"/>
  <c r="T365" i="20"/>
  <c r="T373" i="20" s="1"/>
  <c r="U364" i="20"/>
  <c r="Q383" i="20"/>
  <c r="Q391" i="20" s="1"/>
  <c r="T384" i="20"/>
  <c r="T392" i="20" s="1"/>
  <c r="U383" i="20"/>
  <c r="U384" i="20"/>
  <c r="Q308" i="20"/>
  <c r="Q316" i="20" s="1"/>
  <c r="S316" i="20"/>
  <c r="T307" i="20"/>
  <c r="T315" i="20" s="1"/>
  <c r="R327" i="20"/>
  <c r="R335" i="20" s="1"/>
  <c r="S327" i="20"/>
  <c r="S335" i="20" s="1"/>
  <c r="T326" i="20"/>
  <c r="T334" i="20" s="1"/>
  <c r="S346" i="20"/>
  <c r="S354" i="20" s="1"/>
  <c r="T345" i="20"/>
  <c r="T353" i="20" s="1"/>
  <c r="S365" i="20"/>
  <c r="S373" i="20" s="1"/>
  <c r="T364" i="20"/>
  <c r="T372" i="20" s="1"/>
  <c r="S384" i="20"/>
  <c r="S392" i="20" s="1"/>
  <c r="T383" i="20"/>
  <c r="T391" i="20" s="1"/>
  <c r="R326" i="20"/>
  <c r="R334" i="20" s="1"/>
  <c r="S326" i="20"/>
  <c r="S334" i="20" s="1"/>
  <c r="R346" i="20"/>
  <c r="R354" i="20" s="1"/>
  <c r="S345" i="20"/>
  <c r="S353" i="20" s="1"/>
  <c r="Q365" i="20"/>
  <c r="Q373" i="20" s="1"/>
  <c r="R365" i="20"/>
  <c r="R373" i="20" s="1"/>
  <c r="S364" i="20"/>
  <c r="S372" i="20" s="1"/>
  <c r="R384" i="20"/>
  <c r="R392" i="20" s="1"/>
  <c r="F129" i="20"/>
  <c r="F130" i="20"/>
  <c r="F125" i="20"/>
  <c r="F128" i="20"/>
  <c r="F124" i="20"/>
  <c r="F127" i="20"/>
  <c r="I396" i="20" l="1"/>
  <c r="U269" i="20"/>
  <c r="T269" i="20"/>
  <c r="E530" i="20"/>
  <c r="F530" i="20" s="1"/>
  <c r="I530" i="20"/>
  <c r="O529" i="20"/>
  <c r="O532" i="20" s="1"/>
  <c r="F474" i="20"/>
  <c r="D476" i="20"/>
  <c r="F475" i="20"/>
  <c r="O475" i="20" s="1"/>
  <c r="U217" i="20"/>
  <c r="V396" i="20"/>
  <c r="V320" i="20"/>
  <c r="V339" i="20"/>
  <c r="V358" i="20"/>
  <c r="V377" i="20"/>
  <c r="J320" i="20"/>
  <c r="L377" i="20"/>
  <c r="O377" i="20"/>
  <c r="M339" i="20"/>
  <c r="O339" i="20"/>
  <c r="P320" i="20"/>
  <c r="N377" i="20"/>
  <c r="K320" i="20"/>
  <c r="K358" i="20"/>
  <c r="L396" i="20"/>
  <c r="I377" i="20"/>
  <c r="L358" i="20"/>
  <c r="K377" i="20"/>
  <c r="I358" i="20"/>
  <c r="M396" i="20"/>
  <c r="J339" i="20"/>
  <c r="I339" i="20"/>
  <c r="L320" i="20"/>
  <c r="J377" i="20"/>
  <c r="K339" i="20"/>
  <c r="N396" i="20"/>
  <c r="M358" i="20"/>
  <c r="O396" i="20"/>
  <c r="K396" i="20"/>
  <c r="M320" i="20"/>
  <c r="P358" i="20"/>
  <c r="N339" i="20"/>
  <c r="J396" i="20"/>
  <c r="N358" i="20"/>
  <c r="P339" i="20"/>
  <c r="O358" i="20"/>
  <c r="L339" i="20"/>
  <c r="N320" i="20"/>
  <c r="P377" i="20"/>
  <c r="I320" i="20"/>
  <c r="P396" i="20"/>
  <c r="J358" i="20"/>
  <c r="O320" i="20"/>
  <c r="M377" i="20"/>
  <c r="Q358" i="20"/>
  <c r="S396" i="20"/>
  <c r="S320" i="20"/>
  <c r="Q320" i="20"/>
  <c r="Q396" i="20"/>
  <c r="Q339" i="20"/>
  <c r="R339" i="20"/>
  <c r="U320" i="20"/>
  <c r="R377" i="20"/>
  <c r="R320" i="20"/>
  <c r="S377" i="20"/>
  <c r="S339" i="20"/>
  <c r="S358" i="20"/>
  <c r="R358" i="20"/>
  <c r="R396" i="20"/>
  <c r="Q377" i="20"/>
  <c r="U391" i="20"/>
  <c r="U334" i="20"/>
  <c r="U375" i="20"/>
  <c r="U338" i="20"/>
  <c r="U353" i="20"/>
  <c r="U335" i="20"/>
  <c r="U374" i="20"/>
  <c r="U373" i="20"/>
  <c r="U354" i="20"/>
  <c r="T339" i="20"/>
  <c r="T358" i="20"/>
  <c r="T377" i="20"/>
  <c r="U337" i="20"/>
  <c r="T396" i="20"/>
  <c r="T320" i="20"/>
  <c r="U336" i="20"/>
  <c r="U395" i="20"/>
  <c r="U357" i="20"/>
  <c r="U392" i="20"/>
  <c r="U372" i="20"/>
  <c r="U356" i="20"/>
  <c r="U355" i="20"/>
  <c r="Q270" i="20"/>
  <c r="Q271" i="20" s="1"/>
  <c r="S270" i="20"/>
  <c r="S271" i="20" s="1"/>
  <c r="R270" i="20"/>
  <c r="R271" i="20" s="1"/>
  <c r="T217" i="20"/>
  <c r="U270" i="20" l="1"/>
  <c r="U271" i="20" s="1"/>
  <c r="U277" i="20" s="1"/>
  <c r="T270" i="20"/>
  <c r="T271" i="20" s="1"/>
  <c r="R280" i="20"/>
  <c r="R277" i="20"/>
  <c r="R276" i="20"/>
  <c r="R274" i="20"/>
  <c r="R275" i="20"/>
  <c r="Q280" i="20"/>
  <c r="Q277" i="20"/>
  <c r="Q274" i="20"/>
  <c r="Q275" i="20"/>
  <c r="Q276" i="20"/>
  <c r="S280" i="20"/>
  <c r="S274" i="20"/>
  <c r="S277" i="20"/>
  <c r="S276" i="20"/>
  <c r="S275" i="20"/>
  <c r="O481" i="20"/>
  <c r="J475" i="20"/>
  <c r="E532" i="20"/>
  <c r="J529" i="20"/>
  <c r="O474" i="20"/>
  <c r="G474" i="20"/>
  <c r="O530" i="20"/>
  <c r="F476" i="20"/>
  <c r="G475" i="20"/>
  <c r="U396" i="20"/>
  <c r="V397" i="20"/>
  <c r="I397" i="20"/>
  <c r="K397" i="20"/>
  <c r="N397" i="20"/>
  <c r="M397" i="20"/>
  <c r="P397" i="20"/>
  <c r="O397" i="20"/>
  <c r="L397" i="20"/>
  <c r="J397" i="20"/>
  <c r="Q397" i="20"/>
  <c r="R397" i="20"/>
  <c r="S397" i="20"/>
  <c r="U339" i="20"/>
  <c r="U377" i="20"/>
  <c r="U358" i="20"/>
  <c r="T397" i="20"/>
  <c r="U280" i="20" l="1"/>
  <c r="U275" i="20"/>
  <c r="U276" i="20"/>
  <c r="T400" i="20"/>
  <c r="T402" i="20"/>
  <c r="T407" i="20"/>
  <c r="T406" i="20"/>
  <c r="T405" i="20"/>
  <c r="T403" i="20"/>
  <c r="T404" i="20"/>
  <c r="T401" i="20"/>
  <c r="J407" i="20"/>
  <c r="L407" i="20"/>
  <c r="O400" i="20"/>
  <c r="O402" i="20"/>
  <c r="O401" i="20"/>
  <c r="O404" i="20"/>
  <c r="O405" i="20"/>
  <c r="O407" i="20"/>
  <c r="O403" i="20"/>
  <c r="O406" i="20"/>
  <c r="P400" i="20"/>
  <c r="P401" i="20"/>
  <c r="P402" i="20"/>
  <c r="P404" i="20"/>
  <c r="P405" i="20"/>
  <c r="P403" i="20"/>
  <c r="P407" i="20"/>
  <c r="P406" i="20"/>
  <c r="M406" i="20"/>
  <c r="M407" i="20"/>
  <c r="N400" i="20"/>
  <c r="N402" i="20"/>
  <c r="N401" i="20"/>
  <c r="N404" i="20"/>
  <c r="N407" i="20"/>
  <c r="N403" i="20"/>
  <c r="N406" i="20"/>
  <c r="N405" i="20"/>
  <c r="K407" i="20"/>
  <c r="I411" i="20"/>
  <c r="I415" i="20" s="1"/>
  <c r="S400" i="20"/>
  <c r="S402" i="20"/>
  <c r="S401" i="20"/>
  <c r="S405" i="20"/>
  <c r="S406" i="20"/>
  <c r="S407" i="20"/>
  <c r="S403" i="20"/>
  <c r="S404" i="20"/>
  <c r="X397" i="20"/>
  <c r="V401" i="20"/>
  <c r="V402" i="20"/>
  <c r="V404" i="20"/>
  <c r="V407" i="20"/>
  <c r="V403" i="20"/>
  <c r="V406" i="20"/>
  <c r="V405" i="20"/>
  <c r="U274" i="20"/>
  <c r="R400" i="20"/>
  <c r="R402" i="20"/>
  <c r="R401" i="20"/>
  <c r="R406" i="20"/>
  <c r="R407" i="20"/>
  <c r="R403" i="20"/>
  <c r="R404" i="20"/>
  <c r="R405" i="20"/>
  <c r="Q400" i="20"/>
  <c r="Q402" i="20"/>
  <c r="Q401" i="20"/>
  <c r="Q403" i="20"/>
  <c r="Q405" i="20"/>
  <c r="Q407" i="20"/>
  <c r="Q404" i="20"/>
  <c r="Q406" i="20"/>
  <c r="J402" i="20"/>
  <c r="J401" i="20"/>
  <c r="J400" i="20"/>
  <c r="J404" i="20"/>
  <c r="J406" i="20"/>
  <c r="J405" i="20"/>
  <c r="J403" i="20"/>
  <c r="M402" i="20"/>
  <c r="M401" i="20"/>
  <c r="M400" i="20"/>
  <c r="M404" i="20"/>
  <c r="M403" i="20"/>
  <c r="M405" i="20"/>
  <c r="V416" i="20"/>
  <c r="V400" i="20"/>
  <c r="I402" i="20"/>
  <c r="I401" i="20"/>
  <c r="I400" i="20"/>
  <c r="I404" i="20"/>
  <c r="I403" i="20"/>
  <c r="I405" i="20"/>
  <c r="I407" i="20"/>
  <c r="I406" i="20"/>
  <c r="L400" i="20"/>
  <c r="L402" i="20"/>
  <c r="L401" i="20"/>
  <c r="L404" i="20"/>
  <c r="L406" i="20"/>
  <c r="L405" i="20"/>
  <c r="L403" i="20"/>
  <c r="K401" i="20"/>
  <c r="K402" i="20"/>
  <c r="K400" i="20"/>
  <c r="K404" i="20"/>
  <c r="K405" i="20"/>
  <c r="K403" i="20"/>
  <c r="K406" i="20"/>
  <c r="T280" i="20"/>
  <c r="T276" i="20"/>
  <c r="T277" i="20"/>
  <c r="T275" i="20"/>
  <c r="T274" i="20"/>
  <c r="Q278" i="20"/>
  <c r="R278" i="20"/>
  <c r="S278" i="20"/>
  <c r="K529" i="20"/>
  <c r="J532" i="20"/>
  <c r="J530" i="20"/>
  <c r="O533" i="20"/>
  <c r="V33" i="33" s="1"/>
  <c r="B34" i="33"/>
  <c r="O480" i="20"/>
  <c r="V34" i="33" s="1"/>
  <c r="J474" i="20"/>
  <c r="J481" i="20"/>
  <c r="K475" i="20"/>
  <c r="B33" i="33"/>
  <c r="G476" i="20"/>
  <c r="G477" i="20" s="1"/>
  <c r="U397" i="20"/>
  <c r="M411" i="20"/>
  <c r="M416" i="20" s="1"/>
  <c r="T411" i="20"/>
  <c r="T412" i="20" s="1"/>
  <c r="P6" i="5" s="1"/>
  <c r="P50" i="5" s="1"/>
  <c r="L411" i="20"/>
  <c r="L416" i="20" s="1"/>
  <c r="N411" i="20"/>
  <c r="S411" i="20"/>
  <c r="O411" i="20"/>
  <c r="K411" i="20"/>
  <c r="K416" i="20" s="1"/>
  <c r="Q411" i="20"/>
  <c r="Q416" i="20" s="1"/>
  <c r="R411" i="20"/>
  <c r="R416" i="20" s="1"/>
  <c r="J411" i="20"/>
  <c r="P411" i="20"/>
  <c r="U278" i="20" l="1"/>
  <c r="N408" i="20"/>
  <c r="T415" i="20"/>
  <c r="P408" i="20"/>
  <c r="J412" i="20"/>
  <c r="F6" i="5" s="1"/>
  <c r="F50" i="5" s="1"/>
  <c r="J415" i="20"/>
  <c r="I416" i="20"/>
  <c r="R408" i="20"/>
  <c r="Q408" i="20"/>
  <c r="J408" i="20"/>
  <c r="N412" i="20"/>
  <c r="J6" i="5" s="1"/>
  <c r="J50" i="5" s="1"/>
  <c r="N415" i="20"/>
  <c r="X411" i="20"/>
  <c r="V415" i="20"/>
  <c r="P412" i="20"/>
  <c r="L6" i="5" s="1"/>
  <c r="L50" i="5" s="1"/>
  <c r="P415" i="20"/>
  <c r="R412" i="20"/>
  <c r="N6" i="5" s="1"/>
  <c r="N50" i="5" s="1"/>
  <c r="R415" i="20"/>
  <c r="O412" i="20"/>
  <c r="K6" i="5" s="1"/>
  <c r="K50" i="5" s="1"/>
  <c r="O415" i="20"/>
  <c r="S412" i="20"/>
  <c r="O6" i="5" s="1"/>
  <c r="O50" i="5" s="1"/>
  <c r="S415" i="20"/>
  <c r="V408" i="20"/>
  <c r="O416" i="20"/>
  <c r="S408" i="20"/>
  <c r="O408" i="20"/>
  <c r="T416" i="20"/>
  <c r="J416" i="20"/>
  <c r="Q412" i="20"/>
  <c r="M6" i="5" s="1"/>
  <c r="M50" i="5" s="1"/>
  <c r="Q415" i="20"/>
  <c r="K412" i="20"/>
  <c r="G6" i="5" s="1"/>
  <c r="G50" i="5" s="1"/>
  <c r="K415" i="20"/>
  <c r="I412" i="20"/>
  <c r="E6" i="5" s="1"/>
  <c r="E50" i="5" s="1"/>
  <c r="L412" i="20"/>
  <c r="H6" i="5" s="1"/>
  <c r="H50" i="5" s="1"/>
  <c r="L415" i="20"/>
  <c r="L408" i="20"/>
  <c r="S416" i="20"/>
  <c r="M412" i="20"/>
  <c r="I6" i="5" s="1"/>
  <c r="I50" i="5" s="1"/>
  <c r="M415" i="20"/>
  <c r="U402" i="20"/>
  <c r="U401" i="20"/>
  <c r="U405" i="20"/>
  <c r="U406" i="20"/>
  <c r="U403" i="20"/>
  <c r="U404" i="20"/>
  <c r="U407" i="20"/>
  <c r="K408" i="20"/>
  <c r="M408" i="20"/>
  <c r="N416" i="20"/>
  <c r="P416" i="20"/>
  <c r="T408" i="20"/>
  <c r="U411" i="20"/>
  <c r="U400" i="20"/>
  <c r="I408" i="20"/>
  <c r="T278" i="20"/>
  <c r="K530" i="20"/>
  <c r="J533" i="20"/>
  <c r="L529" i="20"/>
  <c r="K532" i="20"/>
  <c r="L475" i="20"/>
  <c r="K481" i="20"/>
  <c r="J480" i="20"/>
  <c r="Q34" i="33" s="1"/>
  <c r="K474" i="20"/>
  <c r="P17" i="5"/>
  <c r="K17" i="5" l="1"/>
  <c r="F17" i="5"/>
  <c r="N17" i="5"/>
  <c r="G17" i="5"/>
  <c r="M17" i="5"/>
  <c r="E17" i="5"/>
  <c r="J17" i="5"/>
  <c r="I17" i="5"/>
  <c r="L17" i="5"/>
  <c r="H17" i="5"/>
  <c r="R6" i="5"/>
  <c r="R50" i="5" s="1"/>
  <c r="X412" i="20"/>
  <c r="U408" i="20"/>
  <c r="U412" i="20"/>
  <c r="Q6" i="5" s="1"/>
  <c r="Q50" i="5" s="1"/>
  <c r="U415" i="20"/>
  <c r="O17" i="5"/>
  <c r="U416" i="20"/>
  <c r="M529" i="20"/>
  <c r="L532" i="20"/>
  <c r="L530" i="20"/>
  <c r="K533" i="20"/>
  <c r="L474" i="20"/>
  <c r="K480" i="20"/>
  <c r="R34" i="33" s="1"/>
  <c r="M475" i="20"/>
  <c r="L481" i="20"/>
  <c r="T6" i="5" l="1"/>
  <c r="Q17" i="5"/>
  <c r="U6" i="5"/>
  <c r="R17" i="5"/>
  <c r="R13" i="5"/>
  <c r="R44" i="5" s="1"/>
  <c r="M530" i="20"/>
  <c r="L533" i="20"/>
  <c r="N529" i="20"/>
  <c r="N532" i="20" s="1"/>
  <c r="M532" i="20"/>
  <c r="N475" i="20"/>
  <c r="N481" i="20" s="1"/>
  <c r="M481" i="20"/>
  <c r="M474" i="20"/>
  <c r="L480" i="20"/>
  <c r="S34" i="33" s="1"/>
  <c r="R14" i="5" l="1"/>
  <c r="N530" i="20"/>
  <c r="N533" i="20" s="1"/>
  <c r="M533" i="20"/>
  <c r="N474" i="20"/>
  <c r="N480" i="20" s="1"/>
  <c r="U34" i="33" s="1"/>
  <c r="M480" i="20"/>
  <c r="T34" i="33" s="1"/>
  <c r="R45" i="5" l="1"/>
  <c r="R46" i="5"/>
  <c r="D34" i="33"/>
  <c r="C34" i="33"/>
  <c r="R47" i="5" l="1"/>
  <c r="V50" i="5"/>
  <c r="T50" i="5"/>
  <c r="U50" i="5"/>
  <c r="E9" i="5" l="1"/>
  <c r="F9" i="5"/>
  <c r="F53" i="5" s="1"/>
  <c r="G9" i="5"/>
  <c r="H9" i="5"/>
  <c r="I9" i="5"/>
  <c r="J9" i="5"/>
  <c r="F4" i="5"/>
  <c r="G4" i="5"/>
  <c r="H4" i="5"/>
  <c r="I4" i="5"/>
  <c r="J4" i="5"/>
  <c r="T4" i="5" l="1"/>
  <c r="F48" i="5"/>
  <c r="D4" i="33" s="1"/>
  <c r="I53" i="5"/>
  <c r="G8" i="33" s="1"/>
  <c r="T9" i="5"/>
  <c r="G53" i="5"/>
  <c r="E8" i="33" s="1"/>
  <c r="E53" i="5"/>
  <c r="C8" i="33" s="1"/>
  <c r="I48" i="5"/>
  <c r="H48" i="5"/>
  <c r="G48" i="5"/>
  <c r="E4" i="33" s="1"/>
  <c r="J48" i="5"/>
  <c r="D8" i="33"/>
  <c r="H53" i="5"/>
  <c r="J53" i="5"/>
  <c r="H8" i="33" s="1"/>
  <c r="H13" i="5"/>
  <c r="I13" i="5"/>
  <c r="J13" i="5"/>
  <c r="E15" i="5"/>
  <c r="J15" i="5"/>
  <c r="I15" i="5"/>
  <c r="H15" i="5"/>
  <c r="G15" i="5"/>
  <c r="F15" i="5"/>
  <c r="J14" i="5" l="1"/>
  <c r="J45" i="5" s="1"/>
  <c r="J44" i="5"/>
  <c r="I14" i="5"/>
  <c r="I45" i="5" s="1"/>
  <c r="I44" i="5"/>
  <c r="H14" i="5"/>
  <c r="H44" i="5"/>
  <c r="T44" i="5" s="1"/>
  <c r="H4" i="33"/>
  <c r="H15" i="33" s="1"/>
  <c r="G4" i="33"/>
  <c r="G15" i="33" s="1"/>
  <c r="D15" i="33"/>
  <c r="C15" i="33"/>
  <c r="E15" i="33"/>
  <c r="F4" i="33"/>
  <c r="T48" i="5"/>
  <c r="F8" i="33"/>
  <c r="T53" i="5"/>
  <c r="H45" i="5" l="1"/>
  <c r="H71" i="5"/>
  <c r="I46" i="5"/>
  <c r="T14" i="5"/>
  <c r="J46" i="5"/>
  <c r="H46" i="5"/>
  <c r="F12" i="33"/>
  <c r="AC12" i="33" s="1"/>
  <c r="G12" i="33"/>
  <c r="G24" i="33" s="1"/>
  <c r="H12" i="33"/>
  <c r="AC4" i="33"/>
  <c r="F15" i="33"/>
  <c r="AC15" i="33" s="1"/>
  <c r="AC8" i="33"/>
  <c r="I71" i="5" l="1"/>
  <c r="H72" i="5"/>
  <c r="H24" i="33"/>
  <c r="F24" i="33"/>
  <c r="J71" i="5" l="1"/>
  <c r="I72" i="5"/>
  <c r="J47" i="5"/>
  <c r="H47" i="5"/>
  <c r="H73" i="5" s="1"/>
  <c r="I47" i="5"/>
  <c r="L4" i="5"/>
  <c r="M4" i="5"/>
  <c r="N4" i="5"/>
  <c r="O4" i="5"/>
  <c r="P4" i="5"/>
  <c r="Q4" i="5"/>
  <c r="K4" i="5"/>
  <c r="L9" i="5"/>
  <c r="M9" i="5"/>
  <c r="N9" i="5"/>
  <c r="O9" i="5"/>
  <c r="P9" i="5"/>
  <c r="Q9" i="5"/>
  <c r="K9" i="5"/>
  <c r="I73" i="5" l="1"/>
  <c r="K71" i="5"/>
  <c r="J72" i="5"/>
  <c r="J73" i="5" s="1"/>
  <c r="U4" i="5"/>
  <c r="K53" i="5"/>
  <c r="U53" i="5" s="1"/>
  <c r="O53" i="5"/>
  <c r="M8" i="33" s="1"/>
  <c r="L53" i="5"/>
  <c r="J8" i="33" s="1"/>
  <c r="P53" i="5"/>
  <c r="N8" i="33" s="1"/>
  <c r="N53" i="5"/>
  <c r="L8" i="33" s="1"/>
  <c r="M53" i="5"/>
  <c r="K8" i="33" s="1"/>
  <c r="Q48" i="5"/>
  <c r="M48" i="5"/>
  <c r="N48" i="5"/>
  <c r="P48" i="5"/>
  <c r="L48" i="5"/>
  <c r="O48" i="5"/>
  <c r="Q53" i="5"/>
  <c r="K48" i="5"/>
  <c r="U9" i="5"/>
  <c r="L13" i="5"/>
  <c r="O13" i="5"/>
  <c r="P13" i="5"/>
  <c r="N13" i="5"/>
  <c r="K13" i="5"/>
  <c r="Q13" i="5"/>
  <c r="M13" i="5"/>
  <c r="M44" i="5" s="1"/>
  <c r="N15" i="5"/>
  <c r="Q15" i="5"/>
  <c r="K15" i="5"/>
  <c r="P15" i="5"/>
  <c r="L15" i="5"/>
  <c r="M15" i="5"/>
  <c r="O15" i="5"/>
  <c r="K72" i="5" l="1"/>
  <c r="L71" i="5"/>
  <c r="I8" i="33"/>
  <c r="K14" i="5"/>
  <c r="K44" i="5"/>
  <c r="U44" i="5" s="1"/>
  <c r="P14" i="5"/>
  <c r="P45" i="5" s="1"/>
  <c r="P44" i="5"/>
  <c r="O14" i="5"/>
  <c r="O45" i="5" s="1"/>
  <c r="O44" i="5"/>
  <c r="N14" i="5"/>
  <c r="N45" i="5" s="1"/>
  <c r="N44" i="5"/>
  <c r="L14" i="5"/>
  <c r="L45" i="5" s="1"/>
  <c r="L44" i="5"/>
  <c r="Q14" i="5"/>
  <c r="Q45" i="5" s="1"/>
  <c r="Q44" i="5"/>
  <c r="M14" i="5"/>
  <c r="M45" i="5" s="1"/>
  <c r="J4" i="33"/>
  <c r="J12" i="33" s="1"/>
  <c r="L4" i="33"/>
  <c r="L15" i="33" s="1"/>
  <c r="N4" i="33"/>
  <c r="K4" i="33"/>
  <c r="O4" i="33"/>
  <c r="M4" i="33"/>
  <c r="V48" i="5"/>
  <c r="O8" i="33"/>
  <c r="V53" i="5"/>
  <c r="I4" i="33"/>
  <c r="U48" i="5"/>
  <c r="M46" i="5"/>
  <c r="K45" i="5" l="1"/>
  <c r="U14" i="5"/>
  <c r="M71" i="5"/>
  <c r="L72" i="5"/>
  <c r="P46" i="5"/>
  <c r="K46" i="5"/>
  <c r="L46" i="5"/>
  <c r="O46" i="5"/>
  <c r="Q46" i="5"/>
  <c r="N46" i="5"/>
  <c r="J15" i="33"/>
  <c r="L12" i="33"/>
  <c r="L24" i="33" s="1"/>
  <c r="N12" i="33"/>
  <c r="N15" i="33"/>
  <c r="K15" i="33"/>
  <c r="K12" i="33"/>
  <c r="M15" i="33"/>
  <c r="M12" i="33"/>
  <c r="M24" i="33" s="1"/>
  <c r="O12" i="33"/>
  <c r="I15" i="33"/>
  <c r="I12" i="33"/>
  <c r="J24" i="33"/>
  <c r="O15" i="33"/>
  <c r="N71" i="5" l="1"/>
  <c r="M72" i="5"/>
  <c r="M73" i="5" s="1"/>
  <c r="N24" i="33"/>
  <c r="K24" i="33"/>
  <c r="O24" i="33"/>
  <c r="I24" i="33"/>
  <c r="P47" i="5"/>
  <c r="N47" i="5"/>
  <c r="O47" i="5"/>
  <c r="Q47" i="5"/>
  <c r="L47" i="5"/>
  <c r="L73" i="5" s="1"/>
  <c r="M47" i="5"/>
  <c r="K47" i="5"/>
  <c r="K73" i="5" s="1"/>
  <c r="O71" i="5" l="1"/>
  <c r="N72" i="5"/>
  <c r="N73" i="5" s="1"/>
  <c r="H177" i="34"/>
  <c r="H180" i="34" s="1"/>
  <c r="E11" i="5" s="1"/>
  <c r="I177" i="34"/>
  <c r="I180" i="34" s="1"/>
  <c r="F11" i="5" s="1"/>
  <c r="J177" i="34"/>
  <c r="J180" i="34" s="1"/>
  <c r="G11" i="5" s="1"/>
  <c r="P71" i="5" l="1"/>
  <c r="O72" i="5"/>
  <c r="O73" i="5" s="1"/>
  <c r="G55" i="5"/>
  <c r="E10" i="33" s="1"/>
  <c r="E12" i="33" s="1"/>
  <c r="F55" i="5"/>
  <c r="D10" i="33" s="1"/>
  <c r="D12" i="33" s="1"/>
  <c r="E55" i="5"/>
  <c r="C10" i="33" s="1"/>
  <c r="C12" i="33" s="1"/>
  <c r="F16" i="5"/>
  <c r="F13" i="5"/>
  <c r="E16" i="5"/>
  <c r="E13" i="5"/>
  <c r="G16" i="5"/>
  <c r="G13" i="5"/>
  <c r="Q71" i="5" l="1"/>
  <c r="P72" i="5"/>
  <c r="P73" i="5" s="1"/>
  <c r="D16" i="33"/>
  <c r="E14" i="5"/>
  <c r="E45" i="5" s="1"/>
  <c r="E44" i="5"/>
  <c r="F14" i="5"/>
  <c r="F45" i="5" s="1"/>
  <c r="F44" i="5"/>
  <c r="G14" i="5"/>
  <c r="G45" i="5" s="1"/>
  <c r="G44" i="5"/>
  <c r="E16" i="33"/>
  <c r="C16" i="33"/>
  <c r="R71" i="5" l="1"/>
  <c r="R72" i="5" s="1"/>
  <c r="R73" i="5" s="1"/>
  <c r="Q72" i="5"/>
  <c r="Q73" i="5" s="1"/>
  <c r="E46" i="5"/>
  <c r="E47" i="5"/>
  <c r="G46" i="5"/>
  <c r="F46" i="5"/>
  <c r="D24" i="33"/>
  <c r="E24" i="33"/>
  <c r="C24" i="33"/>
  <c r="R74" i="5" l="1"/>
  <c r="F47" i="5"/>
  <c r="G47" i="5"/>
  <c r="I93" i="7" l="1"/>
  <c r="Q33" i="33"/>
  <c r="R33" i="33"/>
  <c r="J93" i="7" l="1"/>
  <c r="I95" i="7"/>
  <c r="S33" i="33"/>
  <c r="Q12" i="33" l="1"/>
  <c r="Q29" i="33"/>
  <c r="Q15" i="33"/>
  <c r="AE15" i="33" s="1"/>
  <c r="AE8" i="33"/>
  <c r="K93" i="7"/>
  <c r="J95" i="7"/>
  <c r="R8" i="33" s="1"/>
  <c r="T33" i="33"/>
  <c r="R12" i="33" l="1"/>
  <c r="R15" i="33"/>
  <c r="R29" i="33"/>
  <c r="L93" i="7"/>
  <c r="K95" i="7"/>
  <c r="S8" i="33" s="1"/>
  <c r="AE12" i="33"/>
  <c r="Q27" i="33"/>
  <c r="U33" i="33"/>
  <c r="D33" i="33" s="1"/>
  <c r="M93" i="7" l="1"/>
  <c r="L95" i="7"/>
  <c r="T8" i="33" s="1"/>
  <c r="S12" i="33"/>
  <c r="S15" i="33"/>
  <c r="S29" i="33"/>
  <c r="R27" i="33"/>
  <c r="E34" i="33"/>
  <c r="C33" i="33"/>
  <c r="T12" i="33" l="1"/>
  <c r="T15" i="33"/>
  <c r="T29" i="33"/>
  <c r="N93" i="7"/>
  <c r="M95" i="7"/>
  <c r="U8" i="33" s="1"/>
  <c r="S27" i="33"/>
  <c r="U12" i="33" l="1"/>
  <c r="U15" i="33"/>
  <c r="U29" i="33"/>
  <c r="O93" i="7"/>
  <c r="N95" i="7"/>
  <c r="V8" i="33" s="1"/>
  <c r="T27" i="33"/>
  <c r="V12" i="33" l="1"/>
  <c r="V15" i="33"/>
  <c r="AF8" i="33"/>
  <c r="V29" i="33"/>
  <c r="U27" i="33"/>
  <c r="P93" i="7"/>
  <c r="O95" i="7"/>
  <c r="W8" i="33" s="1"/>
  <c r="W12" i="33" l="1"/>
  <c r="W15" i="33"/>
  <c r="W29" i="33"/>
  <c r="Q93" i="7"/>
  <c r="P95" i="7"/>
  <c r="X8" i="33" s="1"/>
  <c r="V27" i="33"/>
  <c r="AF12" i="33"/>
  <c r="X12" i="33" l="1"/>
  <c r="X15" i="33"/>
  <c r="X29" i="33"/>
  <c r="R93" i="7"/>
  <c r="R95" i="7" s="1"/>
  <c r="Z8" i="33" s="1"/>
  <c r="Q95" i="7"/>
  <c r="Y8" i="33" s="1"/>
  <c r="W27" i="33"/>
  <c r="Y12" i="33" l="1"/>
  <c r="Y15" i="33"/>
  <c r="Y29" i="33"/>
  <c r="Z12" i="33"/>
  <c r="Z15" i="33"/>
  <c r="Z29" i="33"/>
  <c r="X27" i="33"/>
  <c r="B29" i="33" l="1"/>
  <c r="C29" i="33" s="1"/>
  <c r="Z27" i="33"/>
  <c r="Y27" i="33"/>
  <c r="B27" i="33" l="1"/>
  <c r="D30" i="33" s="1"/>
  <c r="D29" i="33" l="1"/>
  <c r="C27" i="33"/>
  <c r="D28"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tc={7203F7B3-9510-4FD7-BAF0-13EB7EDC9AD2}</author>
  </authors>
  <commentList>
    <comment ref="Q32" authorId="0" shapeId="0" xr:uid="{7203F7B3-9510-4FD7-BAF0-13EB7EDC9AD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Tout passer en €2024</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tc={9E89E100-B0F9-46DB-88BB-48C84EA5A6A1}</author>
    <author>tc={09C1C108-A13A-440E-A641-04AB4B928E5E}</author>
    <author>tc={77B80013-982B-441C-9108-255EDA1983A9}</author>
    <author>tc={C90DFEA2-C05D-47A3-9118-1A9F372AF9E6}</author>
  </authors>
  <commentList>
    <comment ref="C84" authorId="0" shapeId="0" xr:uid="{9E89E100-B0F9-46DB-88BB-48C84EA5A6A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Vérifier avec LBP</t>
      </text>
    </comment>
    <comment ref="D84" authorId="1" shapeId="0" xr:uid="{09C1C108-A13A-440E-A641-04AB4B928E5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Vérifier avec LBP</t>
      </text>
    </comment>
    <comment ref="H84" authorId="2" shapeId="0" xr:uid="{77B80013-982B-441C-9108-255EDA1983A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Vérifier avec LBP</t>
      </text>
    </comment>
    <comment ref="P84" authorId="3" shapeId="0" xr:uid="{C90DFEA2-C05D-47A3-9118-1A9F372AF9E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Vérifier avec LBP</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A1DD44A-15F1-420F-B657-9F5CE455F07E}" name="Requête - Table073 (Page 91)" description="Connexion à la requête « Table073 (Page 91) » dans le classeur." type="100" refreshedVersion="8" minRefreshableVersion="5">
    <extLst>
      <ext xmlns:x15="http://schemas.microsoft.com/office/spreadsheetml/2010/11/main" uri="{DE250136-89BD-433C-8126-D09CA5730AF9}">
        <x15:connection id="6b9ec248-305f-4766-a7d9-d7a0ac10847e"/>
      </ext>
    </extLst>
  </connection>
  <connection id="2" xr16:uid="{FC080DD7-22F2-4B53-999D-6DBA0145CF34}" name="Requête - Table074 (Page 91)" description="Connexion à la requête « Table074 (Page 91) » dans le classeur." type="100" refreshedVersion="8" minRefreshableVersion="5">
    <extLst>
      <ext xmlns:x15="http://schemas.microsoft.com/office/spreadsheetml/2010/11/main" uri="{DE250136-89BD-433C-8126-D09CA5730AF9}">
        <x15:connection id="2db758c5-ff8a-4ce4-8c01-0cb86e07611f"/>
      </ext>
    </extLst>
  </connection>
  <connection id="3" xr16:uid="{B9908039-0A59-4CA7-A6A9-00E1C33FC223}" name="Requête - Table075 (Page 92)" description="Connexion à la requête « Table075 (Page 92) » dans le classeur." type="100" refreshedVersion="8" minRefreshableVersion="5">
    <extLst>
      <ext xmlns:x15="http://schemas.microsoft.com/office/spreadsheetml/2010/11/main" uri="{DE250136-89BD-433C-8126-D09CA5730AF9}">
        <x15:connection id="82b26a7b-adc0-42d8-bb42-4caf190a415f"/>
      </ext>
    </extLst>
  </connection>
  <connection id="4" xr16:uid="{C901186C-BAC6-4FEB-8C3A-4B42D4EF0386}" name="Requête - Table084 (Page 119)" description="Connexion à la requête « Table084 (Page 119) » dans le classeur." type="100" refreshedVersion="8" minRefreshableVersion="5">
    <extLst>
      <ext xmlns:x15="http://schemas.microsoft.com/office/spreadsheetml/2010/11/main" uri="{DE250136-89BD-433C-8126-D09CA5730AF9}">
        <x15:connection id="6077e7e3-0297-49f5-a722-ae8c4acd0ea1"/>
      </ext>
    </extLst>
  </connection>
  <connection id="5" xr16:uid="{D2216B6C-4B8A-4DE7-B841-22752D6706C5}" name="Requête - Table085 (Page 120)" description="Connexion à la requête « Table085 (Page 120) » dans le classeur." type="100" refreshedVersion="8" minRefreshableVersion="5">
    <extLst>
      <ext xmlns:x15="http://schemas.microsoft.com/office/spreadsheetml/2010/11/main" uri="{DE250136-89BD-433C-8126-D09CA5730AF9}">
        <x15:connection id="0a38d390-bef6-41ca-99d4-890b7bbcf532"/>
      </ext>
    </extLst>
  </connection>
  <connection id="6" xr16:uid="{0EB70D0D-EFE0-4D92-8F56-224B33D0C5E6}" name="Requête - Table086 (Page 121)" description="Connexion à la requête « Table086 (Page 121) » dans le classeur." type="100" refreshedVersion="8" minRefreshableVersion="5">
    <extLst>
      <ext xmlns:x15="http://schemas.microsoft.com/office/spreadsheetml/2010/11/main" uri="{DE250136-89BD-433C-8126-D09CA5730AF9}">
        <x15:connection id="6f1de42c-7262-4327-9ac5-709ef7f5ed77"/>
      </ext>
    </extLst>
  </connection>
  <connection id="7" xr16:uid="{6074C490-5639-4971-8B5F-E3E20EFFBDBD}" name="Requête - Table098 (Page 143)" description="Connexion à la requête « Table098 (Page 143) » dans le classeur." type="100" refreshedVersion="8" minRefreshableVersion="5">
    <extLst>
      <ext xmlns:x15="http://schemas.microsoft.com/office/spreadsheetml/2010/11/main" uri="{DE250136-89BD-433C-8126-D09CA5730AF9}">
        <x15:connection id="c3a4f28c-8803-401f-81c4-5635d177f579"/>
      </ext>
    </extLst>
  </connection>
  <connection id="8" xr16:uid="{75038333-9186-417B-AC34-C0B306E0260B}" name="Requête - Table099 (Page 144)" description="Connexion à la requête « Table099 (Page 144) » dans le classeur." type="100" refreshedVersion="8" minRefreshableVersion="5">
    <extLst>
      <ext xmlns:x15="http://schemas.microsoft.com/office/spreadsheetml/2010/11/main" uri="{DE250136-89BD-433C-8126-D09CA5730AF9}">
        <x15:connection id="08bc5c1a-4935-4f39-9a01-9ed736970879"/>
      </ext>
    </extLst>
  </connection>
  <connection id="9" xr16:uid="{7A8A1F4B-459A-4499-A8F9-545D4D8966DB}" keepAlive="1" name="Requête - Table248 (Page 276)" description="Connexion à la requête « Table248 (Page 276) » dans le classeur." type="5" refreshedVersion="0" background="1" saveData="1">
    <dbPr connection="Provider=Microsoft.Mashup.OleDb.1;Data Source=$Workbook$;Location=&quot;Table248 (Page 276)&quot;;Extended Properties=&quot;&quot;" command="SELECT * FROM [Table248 (Page 276)]"/>
  </connection>
  <connection id="10" xr16:uid="{931CDE68-C130-4F24-96B1-0DE55E0FFCAF}" keepAlive="1" name="Requête - Table248 (Page 276) (2)" description="Connexion à la requête « Table248 (Page 276) (2) » dans le classeur." type="5" refreshedVersion="8" background="1" saveData="1">
    <dbPr connection="Provider=Microsoft.Mashup.OleDb.1;Data Source=$Workbook$;Location=&quot;Table248 (Page 276) (2)&quot;;Extended Properties=&quot;&quot;" command="SELECT * FROM [Table248 (Page 276) (2)]"/>
  </connection>
  <connection id="11" xr16:uid="{A5DA92FF-0DE9-49DA-86C9-6FA710C04D6D}" keepAlive="1" name="ThisWorkbookDataModel" description="Modèle de donnée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<sst xmlns="http://schemas.openxmlformats.org/spreadsheetml/2006/main" count="3112" uniqueCount="1320">
  <si>
    <t>Périmètre Pano_NAT</t>
  </si>
  <si>
    <t xml:space="preserve">Périmètre Panorama des financements climat, 2023 </t>
  </si>
  <si>
    <t xml:space="preserve">Fiches inclues dans le document </t>
  </si>
  <si>
    <t>PANO_NAT</t>
  </si>
  <si>
    <t>Bilan de l’énergie</t>
  </si>
  <si>
    <r>
      <t>Secteurs </t>
    </r>
    <r>
      <rPr>
        <sz val="11"/>
        <color rgb="FF404041"/>
        <rFont val="Arial"/>
        <family val="2"/>
      </rPr>
      <t>​</t>
    </r>
  </si>
  <si>
    <t>Investissements climat</t>
  </si>
  <si>
    <t>Investissements fossiles</t>
  </si>
  <si>
    <t>Autres investissements dont dépenses fossiles</t>
  </si>
  <si>
    <t>CT_RENO</t>
  </si>
  <si>
    <t>Réovation énergétiques : postes de consommation fossile</t>
  </si>
  <si>
    <t>de l’étude</t>
  </si>
  <si>
    <t>TER_NEUF</t>
  </si>
  <si>
    <t>Construction neuve de bâtiments tertiaires</t>
  </si>
  <si>
    <t>VP</t>
  </si>
  <si>
    <t xml:space="preserve">Véhicules particuliers thermiques </t>
  </si>
  <si>
    <t>Résidentiel et tertiaire</t>
  </si>
  <si>
    <t>Construction</t>
  </si>
  <si>
    <t>Performance énergétique de la construction</t>
  </si>
  <si>
    <t>-</t>
  </si>
  <si>
    <r>
      <t xml:space="preserve">Construction hors performance énergétique
</t>
    </r>
    <r>
      <rPr>
        <b/>
        <sz val="11"/>
        <color rgb="FF404041"/>
        <rFont val="Arial"/>
        <family val="2"/>
      </rPr>
      <t>[TER_NEUF]</t>
    </r>
  </si>
  <si>
    <t>VUL</t>
  </si>
  <si>
    <t xml:space="preserve">Véhicules utilitaires thermiques </t>
  </si>
  <si>
    <t>BUSCAR</t>
  </si>
  <si>
    <t xml:space="preserve">Bus et cars thermiques </t>
  </si>
  <si>
    <t>Entretien-amélioration</t>
  </si>
  <si>
    <t>Rénovation énergétique : gestes performants</t>
  </si>
  <si>
    <r>
      <t xml:space="preserve">Rénovation énergétique : chaudières gaz et fioul, gestes peu performants
</t>
    </r>
    <r>
      <rPr>
        <b/>
        <sz val="11"/>
        <color rgb="FF404041"/>
        <rFont val="Arial"/>
        <family val="2"/>
      </rPr>
      <t>[CT_RENO]</t>
    </r>
  </si>
  <si>
    <t>Autre entretien-amélioration</t>
  </si>
  <si>
    <t>MR_FER</t>
  </si>
  <si>
    <t xml:space="preserve">Matériel roulant ferroviaire diesel </t>
  </si>
  <si>
    <t>AERO</t>
  </si>
  <si>
    <t xml:space="preserve">Investissements dans les infrastructures aéroportuaires </t>
  </si>
  <si>
    <t>Transports</t>
  </si>
  <si>
    <t>Véhicules</t>
  </si>
  <si>
    <t>Véhicules bas-carbone</t>
  </si>
  <si>
    <r>
      <t xml:space="preserve">Véhicules thermiques
</t>
    </r>
    <r>
      <rPr>
        <b/>
        <sz val="11"/>
        <color rgb="FF404041"/>
        <rFont val="Arial"/>
        <family val="2"/>
      </rPr>
      <t>[VP/VUL/BUSCAR/ MR_FER]</t>
    </r>
  </si>
  <si>
    <t>ROUTES</t>
  </si>
  <si>
    <t xml:space="preserve">Investissements dans les infrastructures routières </t>
  </si>
  <si>
    <t>RESTAUCO</t>
  </si>
  <si>
    <t>Financements liés à la restauration collective</t>
  </si>
  <si>
    <t>Infrastructures</t>
  </si>
  <si>
    <t>Infrastructures des transports bas-carbone : ferroviaire, TCU, réseau cyclable et infrastructures pour carburants alternatifs</t>
  </si>
  <si>
    <r>
      <t xml:space="preserve">Aéroports et matériel de transport aérien
</t>
    </r>
    <r>
      <rPr>
        <b/>
        <sz val="11"/>
        <color rgb="FF404041"/>
        <rFont val="Arial"/>
        <family val="2"/>
      </rPr>
      <t>[AERO]</t>
    </r>
  </si>
  <si>
    <r>
      <t xml:space="preserve">Réseau routier
</t>
    </r>
    <r>
      <rPr>
        <b/>
        <sz val="11"/>
        <color rgb="FF404041"/>
        <rFont val="Arial"/>
        <family val="2"/>
      </rPr>
      <t>[ROUTES]</t>
    </r>
  </si>
  <si>
    <t>AGRI_SUBV</t>
  </si>
  <si>
    <t>Subventions aux activités agricoles défavorables au climat</t>
  </si>
  <si>
    <t>Branche énergie</t>
  </si>
  <si>
    <t>Renouvelables</t>
  </si>
  <si>
    <t>Renouvelables électriques, renouvelables thermiques, réseaux de chaleur, bioraffineries</t>
  </si>
  <si>
    <t>Nucléaire</t>
  </si>
  <si>
    <t>EPR et Grand carénage</t>
  </si>
  <si>
    <t>Fossiles</t>
  </si>
  <si>
    <t>Capture et stockage du carbone</t>
  </si>
  <si>
    <t>Electricité fossile</t>
  </si>
  <si>
    <t>Raffineries et oléoducs</t>
  </si>
  <si>
    <t>Réseaux et flexibilité</t>
  </si>
  <si>
    <t>Flexibilité : électrolyse, méthanation et batteries statiques</t>
  </si>
  <si>
    <t>Terminaux méthaniers</t>
  </si>
  <si>
    <t>Réseaux électriques</t>
  </si>
  <si>
    <t>Réseaux gaziers</t>
  </si>
  <si>
    <t>PANO_AGRI</t>
  </si>
  <si>
    <t>Agriculture</t>
  </si>
  <si>
    <t xml:space="preserve">Subventions aux acteurs </t>
  </si>
  <si>
    <r>
      <t xml:space="preserve">Subventions défavorables
</t>
    </r>
    <r>
      <rPr>
        <b/>
        <sz val="11"/>
        <color rgb="FF404041"/>
        <rFont val="Arial"/>
        <family val="2"/>
      </rPr>
      <t>[AGRI_SUBV]</t>
    </r>
  </si>
  <si>
    <r>
      <t xml:space="preserve">Restauration collective 
</t>
    </r>
    <r>
      <rPr>
        <b/>
        <sz val="11"/>
        <color theme="1"/>
        <rFont val="Arial"/>
        <family val="2"/>
      </rPr>
      <t>[RESTAUCO]</t>
    </r>
  </si>
  <si>
    <t xml:space="preserve">Périmètre méthodologie ECB </t>
  </si>
  <si>
    <t xml:space="preserve">Périmètre ECB (I4CE, 2022) </t>
  </si>
  <si>
    <t xml:space="preserve">Compta nat </t>
  </si>
  <si>
    <t>Comptabilité budgétaire</t>
  </si>
  <si>
    <t>BAT_Neuf_artif</t>
  </si>
  <si>
    <t>Bâtiment</t>
  </si>
  <si>
    <t>Construction d'un bâtiment neuf optimisant sa performance énergie-carbone (au-delà de la norme en vigueur) et engendrant de l'artificialisation</t>
  </si>
  <si>
    <t>part à déterminer</t>
  </si>
  <si>
    <t>Défavorable</t>
  </si>
  <si>
    <r>
      <t xml:space="preserve">La RE2020 devient la norme de référence pour l'analyse dès son entrée en vigueur. 
Pour aller au-delà de la norme en vigueur, </t>
    </r>
    <r>
      <rPr>
        <b/>
        <sz val="10"/>
        <color theme="1"/>
        <rFont val="Calibri"/>
        <family val="2"/>
      </rPr>
      <t>le coût lié aux performances énergétiques ET carbone (dont matériaux bas carbone/biosourcés) est à estimer par la collectivité et est classé en "très favorable"</t>
    </r>
    <r>
      <rPr>
        <sz val="10"/>
        <color theme="1"/>
        <rFont val="Calibri"/>
        <family val="2"/>
      </rPr>
      <t xml:space="preserve">. En l’absence d’estimation sur ce coût par la collectivité, 100% de la dépense est considérée en « favorable sous conditions ».
</t>
    </r>
    <r>
      <rPr>
        <b/>
        <sz val="10"/>
        <color theme="1"/>
        <rFont val="Calibri"/>
        <family val="2"/>
      </rPr>
      <t>Le coût du terrain ne rentre pas dans le coût de la dépens</t>
    </r>
    <r>
      <rPr>
        <sz val="10"/>
        <color theme="1"/>
        <rFont val="Calibri"/>
        <family val="2"/>
      </rPr>
      <t>e (neutre, cf. étape 1 - analyse par nature).</t>
    </r>
  </si>
  <si>
    <t>Construction de bâtiments neufs NE respectant PAS les seuils de performance énergie-carbone (respect de la norme en vigueur ou/et, pour la RT2012, du niveau C1 du référentiel E+C-) 
OU engendrant de l'artificialisation</t>
  </si>
  <si>
    <t>Le coût du terrain ne rentre pas dans le coût de la dépense (neutre, cf. étape 1).</t>
  </si>
  <si>
    <t>BAT_Réno_manquée</t>
  </si>
  <si>
    <t>Rénovation</t>
  </si>
  <si>
    <t xml:space="preserve">"Occasion manquée" : Rénovation sur un poste à enjeu énergétique (toiture, murs extérieurs, fenêtres, chauffage, …) mais sans intention de geste de performance énergétique. </t>
  </si>
  <si>
    <r>
      <rPr>
        <sz val="10"/>
        <color theme="1"/>
        <rFont val="Calibri"/>
        <family val="2"/>
      </rPr>
      <t>Sauf pour les bâtiments en classe A ou B au DPE</t>
    </r>
    <r>
      <rPr>
        <i/>
        <sz val="10"/>
        <color theme="1"/>
        <rFont val="Calibri"/>
        <family val="2"/>
      </rPr>
      <t xml:space="preserve">
Exemple : rénovation d'une toiture sans isolation </t>
    </r>
  </si>
  <si>
    <t>BAT_Réno_loupée</t>
  </si>
  <si>
    <t>"Rénovation loupée" : Rénovation sur un poste à enjeu énergétique mais sans gain énergétique ou carbone</t>
  </si>
  <si>
    <t xml:space="preserve">Sauf pour les bâtiments en classe A ou B au DPE. 
Dans le cas où il est possible de mesurer les consommations/émissions du bâtiment avant/après travaux. 
</t>
  </si>
  <si>
    <t>TRA_Ferro_Fossile</t>
  </si>
  <si>
    <t>Transport</t>
  </si>
  <si>
    <t>Ferroviaire urbain et interubain - Achat</t>
  </si>
  <si>
    <t>Achat de matériel roulant à motorisation diesel ou essence</t>
  </si>
  <si>
    <t>TRA_TC_Fossile</t>
  </si>
  <si>
    <t>Transports collectifs routiers - Achat</t>
  </si>
  <si>
    <t>L'achat de transports collectifs publics à motorisation thermique (diesel ou essence ou agrocarburant)</t>
  </si>
  <si>
    <t>Le secteur des transports doit se décarboner d'après la SNBC. En cas de manque d'information.</t>
  </si>
  <si>
    <t>TRA_Marit_InfraFossile</t>
  </si>
  <si>
    <t>Maritime Infra</t>
  </si>
  <si>
    <t>Développement/Modernisation d'infrastructures de transport ou de stockage de combustibles fossiles</t>
  </si>
  <si>
    <t xml:space="preserve">En accord avec la taxonomie européenne. </t>
  </si>
  <si>
    <t>TRA_Marit_FlotteFossiles</t>
  </si>
  <si>
    <t>Maritime Achat navire</t>
  </si>
  <si>
    <t>Achat de navires à motorisation fossile</t>
  </si>
  <si>
    <t>TRA_Fluvial_InfraFossiles</t>
  </si>
  <si>
    <t>Fluvial Infra</t>
  </si>
  <si>
    <t>Développement/Modernisation d'infrastructures de transport/stockage de combustibles fossiles</t>
  </si>
  <si>
    <t>TRA_Fluvial_InfraEntretienAutres</t>
  </si>
  <si>
    <t>Autres travaux d'entretien</t>
  </si>
  <si>
    <t xml:space="preserve">Les dépenses ne permettant pas de développer le transport fluvial de marchandises et/ou de personnes. </t>
  </si>
  <si>
    <t>TRA_Fluvial_FlotteFossile</t>
  </si>
  <si>
    <t>Fluvial Achat flotte</t>
  </si>
  <si>
    <t>TRA_Aviation</t>
  </si>
  <si>
    <t>Aviation</t>
  </si>
  <si>
    <t>Développement et entretien liés à l'aviation (ex : aéroport) ou à la sécurité aérienne</t>
  </si>
  <si>
    <t>TRA_Auto</t>
  </si>
  <si>
    <t>Flotte automobile - Achat</t>
  </si>
  <si>
    <t xml:space="preserve">L'achat de véhicules de société émettant plus de 50 gCO2/km </t>
  </si>
  <si>
    <t>Limite de 50 gCO2/km utilisée par le Panorama des financements climat et l'Ademe, en lien avec la SNBC.</t>
  </si>
  <si>
    <t>TRA_PL_Fossile</t>
  </si>
  <si>
    <t>Poids lourds ou véhicules spécialisés - Achat</t>
  </si>
  <si>
    <t>Achat de poids lourds ou véhicules spécialisés (bennes, corbillards, ...) diesel ou essence</t>
  </si>
  <si>
    <t>TRA_2R_Fossile</t>
  </si>
  <si>
    <t>Deux roues - Achat</t>
  </si>
  <si>
    <t>Achat de deux roues fonctionnant aux énergies fossiles (dont gaz)</t>
  </si>
  <si>
    <t>VOIRIE_Cstrct_Voiture</t>
  </si>
  <si>
    <t>Voirie</t>
  </si>
  <si>
    <t>Construction de routes dédiée à la voiture</t>
  </si>
  <si>
    <t>VOIRIE_Requal_Voiture</t>
  </si>
  <si>
    <t>Requalification</t>
  </si>
  <si>
    <t>Requalification de la voirie : part dédiée à la voiture</t>
  </si>
  <si>
    <t>VOIRIE_Parkings</t>
  </si>
  <si>
    <t>Parkings - Construction</t>
  </si>
  <si>
    <t>Création de parkings "classiques"</t>
  </si>
  <si>
    <t>Favorise l'usage de la voiture, source d'émission</t>
  </si>
  <si>
    <t>ALIM_Repas_Bovin</t>
  </si>
  <si>
    <t>Alimentation</t>
  </si>
  <si>
    <t>Repas</t>
  </si>
  <si>
    <t>Si la collectivité souhaite aller plus loin : Les repas bovins/ovins servis par la restauration collective gérée par la collectivité au delà de 4/20 repas</t>
  </si>
  <si>
    <t>Nombre de repas bovins par semaine au-delà de 1</t>
  </si>
  <si>
    <t>i.e. sur 20 repas, on ne compte pas les 4 premiers repas, mais on compte les suivants. Recommandations du GEM-RCN
La viande bovine émet beaucoup plus que des légumes/céréales (même en ACV)</t>
  </si>
  <si>
    <t>AGRI_Explt_HVE</t>
  </si>
  <si>
    <t>Aides aux exploitations</t>
  </si>
  <si>
    <t>Aides aux exploitations labellisées à Haute valeur environnementale (HVE)</t>
  </si>
  <si>
    <t>AGRI_Explt_PAS</t>
  </si>
  <si>
    <t>Aides "classiques" aux exploitations (sans spécificités sur les pratiques de transition agro-écologiques)</t>
  </si>
  <si>
    <r>
      <t xml:space="preserve">le </t>
    </r>
    <r>
      <rPr>
        <i/>
        <sz val="10"/>
        <color theme="1"/>
        <rFont val="Calibri"/>
        <family val="2"/>
      </rPr>
      <t>statu quo</t>
    </r>
    <r>
      <rPr>
        <sz val="10"/>
        <color theme="1"/>
        <rFont val="Calibri"/>
        <family val="2"/>
      </rPr>
      <t xml:space="preserve"> est considéré comme défavorable</t>
    </r>
  </si>
  <si>
    <t>AGRI_Orga_HVE</t>
  </si>
  <si>
    <t>Aides aux organismes</t>
  </si>
  <si>
    <t>Aides aux organismes en faveur du label à Haute valeur environnementale (HVE)</t>
  </si>
  <si>
    <t>AGRI_Orga_statuquo</t>
  </si>
  <si>
    <t>Aides "classiques" aux organismes (sans soutien spécifique à la mise en place de pratiques de transition agro-écologiques)</t>
  </si>
  <si>
    <t>au prorata du CA consacré par l'organisme</t>
  </si>
  <si>
    <t>AGRI_Explt_EEserres</t>
  </si>
  <si>
    <t>Efficacité énergétique</t>
  </si>
  <si>
    <t>Aides pour des actions d'efficacité énergétique sur des serres chauffées</t>
  </si>
  <si>
    <t>AGRI_Explt_EEélevage</t>
  </si>
  <si>
    <t>Aides pour des actions d'efficacité énergétique sur des bâtiments d'élevage</t>
  </si>
  <si>
    <t>AGRI_Explt_Modern</t>
  </si>
  <si>
    <t xml:space="preserve">Modernisation </t>
  </si>
  <si>
    <t xml:space="preserve">Aides pour la construction / modernisation de bâtiments agricoles dans des exploitations SANS pratiques de transition agro-écologique identifiées </t>
  </si>
  <si>
    <r>
      <t xml:space="preserve">Le </t>
    </r>
    <r>
      <rPr>
        <i/>
        <sz val="10"/>
        <color theme="1"/>
        <rFont val="Calibri"/>
        <family val="2"/>
      </rPr>
      <t xml:space="preserve">statu quo </t>
    </r>
    <r>
      <rPr>
        <sz val="10"/>
        <color theme="1"/>
        <rFont val="Calibri"/>
        <family val="2"/>
      </rPr>
      <t>est considéré comme défavorable</t>
    </r>
  </si>
  <si>
    <t>AGRI_Explt_ModernSerres</t>
  </si>
  <si>
    <t xml:space="preserve">Aides pour la construction / modernisation de serres chauffées </t>
  </si>
  <si>
    <t>Les serres chauffées doivent décroître d'après les scénarios</t>
  </si>
  <si>
    <t>AGRI_EnR_PVToit-</t>
  </si>
  <si>
    <t>Energies renouvelables - Solaire</t>
  </si>
  <si>
    <t>Aides pour le développement et/ou l'entretien de panneaux solaires sur toiture de bâtiment d'élevage</t>
  </si>
  <si>
    <t>le statu quo est considéré comme défavorable</t>
  </si>
  <si>
    <t>AGRI_Ccourts_statuquo</t>
  </si>
  <si>
    <t xml:space="preserve">Circuits courts </t>
  </si>
  <si>
    <t>Aides pour le développement des circuits courts alimentaires et agricoles de proximité pour une exploitation (SANS pratiques de transition agro-écologique)</t>
  </si>
  <si>
    <t>ECO_Act_Défav</t>
  </si>
  <si>
    <t>Action économique</t>
  </si>
  <si>
    <t>Soutien</t>
  </si>
  <si>
    <t>Aide pour une activité "défavorable" identifié par les critères de classement du guide atténuation</t>
  </si>
  <si>
    <t>au prorata du CA de l'entreprise</t>
  </si>
  <si>
    <t xml:space="preserve">Ex : entreprise de fabrication de pièces d'avion </t>
  </si>
  <si>
    <t>ECO_Act_IndicDéfav</t>
  </si>
  <si>
    <t>Soutien avec indicateurs climat</t>
  </si>
  <si>
    <t>Aide pour une activité non classée par la taxonomie européenne ou le guide atténuation,  si la collectivité a mis en place des indicateurs climat dont les réponses NE sont PAS favorables au climat</t>
  </si>
  <si>
    <t>FORMATION_Act_IndicDéfav</t>
  </si>
  <si>
    <t>Formation professionnelle</t>
  </si>
  <si>
    <t xml:space="preserve">Formation professionnelle </t>
  </si>
  <si>
    <t>Aide pour une formation non spécifique ou dont l'activité est "à approfondir", si la collectivité a mis en place des indicateurs climat dans les cahiers des charges des marchés de formation et dont les réponses NE sont PAS favorables au climat</t>
  </si>
  <si>
    <t>DECHETS_Incinération</t>
  </si>
  <si>
    <t>Déchets</t>
  </si>
  <si>
    <t>Mode de traitement des déchets</t>
  </si>
  <si>
    <t>Incinération</t>
  </si>
  <si>
    <t>DECHETS_Enfouissement</t>
  </si>
  <si>
    <t>Enfouissement</t>
  </si>
  <si>
    <t>DECHETS_Collecte_Carbu</t>
  </si>
  <si>
    <t>Collecte</t>
  </si>
  <si>
    <t>Carburant lié à la collecte des déchets</t>
  </si>
  <si>
    <t>Données à faire remonter si possible</t>
  </si>
  <si>
    <t>ENE_Gaz</t>
  </si>
  <si>
    <t>Energie</t>
  </si>
  <si>
    <t>Gaz</t>
  </si>
  <si>
    <t>Les factures de gaz pour la collectivité : gaz naturel (hors carburant)</t>
  </si>
  <si>
    <t>Si mélange de gaz renouvelable et gaz fossile, faire au prorata</t>
  </si>
  <si>
    <t>ENE_Carbu_Fossiles</t>
  </si>
  <si>
    <t>Carburant</t>
  </si>
  <si>
    <t>Achat de carburants fossiles (essence, diesel, GPL, GTL, GNV non renouvelable)</t>
  </si>
  <si>
    <t>ENE_Carbu_GNV</t>
  </si>
  <si>
    <t>Achat de GNV</t>
  </si>
  <si>
    <t>Le gaz est aujourd'hui une énergie carbonée</t>
  </si>
  <si>
    <t>ENE_Carbu_H2</t>
  </si>
  <si>
    <t>Achat d'hydrogène fossile</t>
  </si>
  <si>
    <t>Si mélange de H2 renouvelable et fossile, faire au prorata</t>
  </si>
  <si>
    <t>ENE_Infra_Fossile</t>
  </si>
  <si>
    <t>Infrastructures de production</t>
  </si>
  <si>
    <t>Développement ou entretien d'infrastructures de production d'énergie fossile (hors gaz)</t>
  </si>
  <si>
    <t>RH_indemnités_voiture</t>
  </si>
  <si>
    <t>Ressources humaines</t>
  </si>
  <si>
    <t>Dépenses de personnel</t>
  </si>
  <si>
    <t>Indemnités kilométriques voiture personnelle</t>
  </si>
  <si>
    <t>RH_déplacement_Fossile</t>
  </si>
  <si>
    <t>Frais de déplacement</t>
  </si>
  <si>
    <t xml:space="preserve">Déplacement en voiture fossile (sauf GNV) et avion </t>
  </si>
  <si>
    <t>Taxe_nonclimat</t>
  </si>
  <si>
    <t>Taxes</t>
  </si>
  <si>
    <t>Paiement de taxes</t>
  </si>
  <si>
    <t>Paiement de taxes environnementales liées au climat (incitatives)</t>
  </si>
  <si>
    <r>
      <t xml:space="preserve">Le paiement de ces taxes revient à un "droit à polluer" 
</t>
    </r>
    <r>
      <rPr>
        <i/>
        <sz val="10"/>
        <color theme="1"/>
        <rFont val="Calibri"/>
        <family val="2"/>
      </rPr>
      <t xml:space="preserve">Ex : Taxe à l'essieu, taxe d'immatriculation … </t>
    </r>
  </si>
  <si>
    <t>NTIC_Achat_critères</t>
  </si>
  <si>
    <t>NTIC</t>
  </si>
  <si>
    <t xml:space="preserve">Achat </t>
  </si>
  <si>
    <t>Acquisition de matériels informatiques sans respect des critères méthodologiques</t>
  </si>
  <si>
    <t>Le matériel informatique est fortement émetteur, notamment lors de sa production.</t>
  </si>
  <si>
    <t>Synthèse et graphs</t>
  </si>
  <si>
    <t xml:space="preserve">Dépenses brunes </t>
  </si>
  <si>
    <t>2017-2023</t>
  </si>
  <si>
    <t>inv</t>
  </si>
  <si>
    <t>Rénovation des bâtiments tertiaires</t>
  </si>
  <si>
    <t>en m€</t>
  </si>
  <si>
    <t xml:space="preserve">Dépenses bâtimentaires - Construction tertiaire neuve </t>
  </si>
  <si>
    <t>"</t>
  </si>
  <si>
    <t>fonct</t>
  </si>
  <si>
    <t xml:space="preserve">Dépenses énergétiques </t>
  </si>
  <si>
    <t xml:space="preserve">Véhicules particuliers </t>
  </si>
  <si>
    <t xml:space="preserve">Véhicules utilitaires légers </t>
  </si>
  <si>
    <t xml:space="preserve">Bus &amp; Cars </t>
  </si>
  <si>
    <t>Subventions aux aéroports régionaux</t>
  </si>
  <si>
    <t>Construction de nouvelles routes</t>
  </si>
  <si>
    <t>Matériel roulant ferroviaire</t>
  </si>
  <si>
    <t>TOTAL</t>
  </si>
  <si>
    <t>Dépenses patrimoniales</t>
  </si>
  <si>
    <t>Dépenses aménagement du territoire</t>
  </si>
  <si>
    <t>Dépenses totales considérées</t>
  </si>
  <si>
    <t>Total</t>
  </si>
  <si>
    <t>Matériel informatique</t>
  </si>
  <si>
    <t>Dépenses de carburant</t>
  </si>
  <si>
    <t xml:space="preserve">en % </t>
  </si>
  <si>
    <t>en M€</t>
  </si>
  <si>
    <t xml:space="preserve"> Administrations publiques</t>
  </si>
  <si>
    <t>Evolution annuelle des dépenses brunes</t>
  </si>
  <si>
    <t xml:space="preserve">TOTAL dépenses brunes (€ courants) </t>
  </si>
  <si>
    <t>Achats de chaudières fossiles</t>
  </si>
  <si>
    <t>Intégration des investissements verts</t>
  </si>
  <si>
    <t xml:space="preserve"> </t>
  </si>
  <si>
    <t>Total € constants</t>
  </si>
  <si>
    <t>Dépenses d'équipement LPFP courants</t>
  </si>
  <si>
    <t>en €</t>
  </si>
  <si>
    <t xml:space="preserve">Contrefactuel </t>
  </si>
  <si>
    <t xml:space="preserve">CF Part des dépenses brunes - hors énergie </t>
  </si>
  <si>
    <t xml:space="preserve">Montant CF (euros constants) </t>
  </si>
  <si>
    <t xml:space="preserve">Delta </t>
  </si>
  <si>
    <t xml:space="preserve">Somme Delta </t>
  </si>
  <si>
    <t>Source</t>
  </si>
  <si>
    <t>Date export</t>
  </si>
  <si>
    <t>Rénovation énergétique des bâtiments publics des collectivités locales</t>
  </si>
  <si>
    <t>Périmètre général</t>
  </si>
  <si>
    <t xml:space="preserve">Cette fiche renseigne les dépenses des collectivités dans des équipements fossiles lors d'opérations de rénovations de bâtiments tertiaires. </t>
  </si>
  <si>
    <t xml:space="preserve">Prise en compte par la méthodologie budget vert (I4CE, 2022) </t>
  </si>
  <si>
    <t xml:space="preserve">En réalité, l'ensemble des dépenses dans des équipements fossiles ne sont pas considrées comme fossiles. Par exemple, il est possible de remplacer un équipement fossile par un autre plus performant, ce qui classerait la dépense en neutre selon la méthodologie I4CE. </t>
  </si>
  <si>
    <t>Dépense défavorable</t>
  </si>
  <si>
    <t>Méthodologie</t>
  </si>
  <si>
    <t xml:space="preserve">Nous recensons l'ensemble dépenses d'équipement de rénovation, en nombre d'équipements et appliquons des coûts unitaires, ainsi qu'une trajectoire d'évolution des prix. </t>
  </si>
  <si>
    <t>BAT_2025_€TER_RENO_1248</t>
  </si>
  <si>
    <t xml:space="preserve">Nous estimons l'évolution du parc tertiaire par type de propriétaire. </t>
  </si>
  <si>
    <t>Nous faisons l'hypothèse forte que les investissements dans les équipements se répartissent entre acteurs dans la même proportion que la décomposition du parc existant.</t>
  </si>
  <si>
    <t xml:space="preserve">Tableurs </t>
  </si>
  <si>
    <t>BAT_2025_€TER_RENO_1342</t>
  </si>
  <si>
    <t xml:space="preserve">Tableau de consolidation simplifiée - évolution du parc de bâtiments tertiaire par propriétaire </t>
  </si>
  <si>
    <t>HISTO</t>
  </si>
  <si>
    <t>(unités)</t>
  </si>
  <si>
    <t>(détail)</t>
  </si>
  <si>
    <t>En surface</t>
  </si>
  <si>
    <t>Etat</t>
  </si>
  <si>
    <t>(millions de m²)</t>
  </si>
  <si>
    <t>Collectivités territoriales</t>
  </si>
  <si>
    <t>A</t>
  </si>
  <si>
    <t>Entreprises</t>
  </si>
  <si>
    <t>B</t>
  </si>
  <si>
    <t>En proportion</t>
  </si>
  <si>
    <t>BAT_2025_€TER_RENO_1430</t>
  </si>
  <si>
    <t xml:space="preserve">Equipements installés </t>
  </si>
  <si>
    <t>Isolation thermique</t>
  </si>
  <si>
    <t>(mio EUR)</t>
  </si>
  <si>
    <t>CLIMAT</t>
  </si>
  <si>
    <t>Fenêtres</t>
  </si>
  <si>
    <t>Chaudière fioul condensation &gt; 70 kW</t>
  </si>
  <si>
    <t>FOSSILE</t>
  </si>
  <si>
    <t>Chaudière gaz condensation &gt; 70 kW</t>
  </si>
  <si>
    <t>Chaudière standard et BT fioul &gt; 70 kW</t>
  </si>
  <si>
    <t>Chaudière standard et BT gaz &gt; 70 kW</t>
  </si>
  <si>
    <t>Chaudière fioul condensation &lt; 70 kW</t>
  </si>
  <si>
    <t>Chaudière gaz condensation &lt; 70 kW</t>
  </si>
  <si>
    <t>Chaudière standard fioul &lt; 70 kW</t>
  </si>
  <si>
    <t>Chaudière standard gaz &lt; 70 kW</t>
  </si>
  <si>
    <t>Chaudières biomasse</t>
  </si>
  <si>
    <t>PAC air-eau et géothemie</t>
  </si>
  <si>
    <t>Système clim. DRV, Clim. multisplit, Roof top</t>
  </si>
  <si>
    <t>export synthèse DT</t>
  </si>
  <si>
    <t xml:space="preserve">Synthèse CT </t>
  </si>
  <si>
    <t>export synthèse DB</t>
  </si>
  <si>
    <t xml:space="preserve">Part de fossile </t>
  </si>
  <si>
    <t>%</t>
  </si>
  <si>
    <t>BAT_2024_€TER_RENO_930</t>
  </si>
  <si>
    <t>Prix des équipements installés</t>
  </si>
  <si>
    <t>(catégorie)</t>
  </si>
  <si>
    <t>(euros par m²)</t>
  </si>
  <si>
    <t>(euros par unité)</t>
  </si>
  <si>
    <t xml:space="preserve">Trajectoire dépenses brunes </t>
  </si>
  <si>
    <t>Fuel domestique</t>
  </si>
  <si>
    <t>Gaz naturel</t>
  </si>
  <si>
    <t>(%)</t>
  </si>
  <si>
    <t>AMS 2023</t>
  </si>
  <si>
    <t>Ensemble</t>
  </si>
  <si>
    <t>Départements</t>
  </si>
  <si>
    <t>Régions</t>
  </si>
  <si>
    <t xml:space="preserve">IGF, Investissement des CT </t>
  </si>
  <si>
    <t>Dépenses d'investissement</t>
  </si>
  <si>
    <t>C</t>
  </si>
  <si>
    <t>€</t>
  </si>
  <si>
    <t>Dépenses énergétiques des collectivités locales</t>
  </si>
  <si>
    <t>Cette fiche renseigne les dépenses énergétique des collectivités</t>
  </si>
  <si>
    <t xml:space="preserve">Les dépenses énergétiques concernent donc l'achat de gaz fossile et de carburants fossiles (essence, diesel, GPL, GTL, GNV non renouvelable). </t>
  </si>
  <si>
    <t xml:space="preserve">L'achat d'hydrogène fossile est aussi inclus. </t>
  </si>
  <si>
    <t>Dépenses défavorables</t>
  </si>
  <si>
    <t>Charges à caratère général (PMT)</t>
  </si>
  <si>
    <t>Communes</t>
  </si>
  <si>
    <t>Charges à caratère général</t>
  </si>
  <si>
    <t>dont dépenses d'énergie</t>
  </si>
  <si>
    <t>éclairage</t>
  </si>
  <si>
    <t>bâtiment</t>
  </si>
  <si>
    <t>autres</t>
  </si>
  <si>
    <t>dont carburant</t>
  </si>
  <si>
    <t>dont autres</t>
  </si>
  <si>
    <t>GFP</t>
  </si>
  <si>
    <t>GSFP</t>
  </si>
  <si>
    <t>TOTAL dépense énergétiques</t>
  </si>
  <si>
    <t>Sources :</t>
  </si>
  <si>
    <t>dépenses d'énergie : combustible, energie électricité, chauffage urbain</t>
  </si>
  <si>
    <t>éclairage : avec fonctionnelle et corrigé des communes -3500 hab (22% des dép. énergie)</t>
  </si>
  <si>
    <t>bâtiment : (74 %) d'après répartition des dep énergie en fonctionnelle</t>
  </si>
  <si>
    <t xml:space="preserve">Euros courants </t>
  </si>
  <si>
    <t xml:space="preserve">Estimation des dépenses brunes </t>
  </si>
  <si>
    <t xml:space="preserve">Pour déterminer la part des dépenses brunes il faut estimer et isoler, pour chaque type d'énergie, la part provenant de sources fossiles. </t>
  </si>
  <si>
    <t xml:space="preserve">Pour le chauffage urbain </t>
  </si>
  <si>
    <t>FEDENE, 2024</t>
  </si>
  <si>
    <t>Nonobstant la stabilité du taux EnR&amp;R à 66,5 %, la part de livraisons des réseaux de chaleur vertueux (dont le taux d’énergies renouvelable et de récupération est supérieur à 50%) poursuit son évolution passant de 89% en 2022 à 93 % en 2023.</t>
  </si>
  <si>
    <t>Les réseaux de chaleur et froid en 2023 | Données et études statistiques</t>
  </si>
  <si>
    <t>Consommation d'énergie pour production de chaleur dans les réseaux de chaleur (TWh)</t>
  </si>
  <si>
    <t>Charbon</t>
  </si>
  <si>
    <t>Chaudières éléctriques</t>
  </si>
  <si>
    <t>Fioul et GPL</t>
  </si>
  <si>
    <t>Pompes à chaleur non renouvelable</t>
  </si>
  <si>
    <t>Autres énergies non renouvelables</t>
  </si>
  <si>
    <t>Énergies de récupération</t>
  </si>
  <si>
    <t>Énergies renouvelables</t>
  </si>
  <si>
    <t>Consommation totale</t>
  </si>
  <si>
    <t>Chaleur commercialisée (nette des pertes)</t>
  </si>
  <si>
    <t>Consommation d'énergie pour production de chaleur dans les réseaux de chaleur - % d'ENR</t>
  </si>
  <si>
    <t>Energie de récupération</t>
  </si>
  <si>
    <t xml:space="preserve">TOTAL </t>
  </si>
  <si>
    <t xml:space="preserve">Pour l'électricité </t>
  </si>
  <si>
    <t xml:space="preserve">Il est possible d'utiliser comme proxy la production d'électricité en France. </t>
  </si>
  <si>
    <t xml:space="preserve">Pour la consommation, il est plus difficile car nous importons aussi de l'énergie. </t>
  </si>
  <si>
    <t>Production d'électricité en France - Accès aux données | RTE</t>
  </si>
  <si>
    <t>Année 2024</t>
  </si>
  <si>
    <t>Année 2023</t>
  </si>
  <si>
    <t>Twh</t>
  </si>
  <si>
    <t>Hydraulique</t>
  </si>
  <si>
    <t>Eolien</t>
  </si>
  <si>
    <t>Solaire</t>
  </si>
  <si>
    <t>Thermique renouvelable et déchets</t>
  </si>
  <si>
    <t>Thermique fossile</t>
  </si>
  <si>
    <t>Production électrique par filière en France depuis 1995 (en %)</t>
  </si>
  <si>
    <t>Filière</t>
  </si>
  <si>
    <t xml:space="preserve">Nous pouvons donc estimer que 7% des dépenses énergétiques des collectivités en électricités étaient fossiles en 2023. </t>
  </si>
  <si>
    <t xml:space="preserve">Nous considérons que l'ensemble des dépenses pour l'éclairage public sont des dépenses d'électricité. </t>
  </si>
  <si>
    <t>TOTAL BRUN</t>
  </si>
  <si>
    <t>Pour le gaz</t>
  </si>
  <si>
    <t xml:space="preserve">Production de gaz en France </t>
  </si>
  <si>
    <t>chiffres_cles_energie2024_donnees_figure_novembre2024.xlsx</t>
  </si>
  <si>
    <t>Gaz naturel et gaz de mine</t>
  </si>
  <si>
    <t>Biométhane</t>
  </si>
  <si>
    <t xml:space="preserve">Consommation totale de gaz naturel </t>
  </si>
  <si>
    <t xml:space="preserve">Part de gaz fossile </t>
  </si>
  <si>
    <t>Dépenses énergétiques des collectivités locales - La librairie ADEME</t>
  </si>
  <si>
    <t>Consommation des communes par usage en 2017 (ADEME)</t>
  </si>
  <si>
    <t>Usage</t>
  </si>
  <si>
    <t>Part des Twh</t>
  </si>
  <si>
    <t>Eclairage public</t>
  </si>
  <si>
    <t>Eau, Déchets</t>
  </si>
  <si>
    <t xml:space="preserve">Répartition de la consommation selon le type d'énergie dans les communes de plus de 500 habitants </t>
  </si>
  <si>
    <t>% consommations</t>
  </si>
  <si>
    <t>% dépenses</t>
  </si>
  <si>
    <t xml:space="preserve">Electricité </t>
  </si>
  <si>
    <t xml:space="preserve">Gaz </t>
  </si>
  <si>
    <t>Carburants</t>
  </si>
  <si>
    <t>Réseau de chaleur</t>
  </si>
  <si>
    <t>Bois</t>
  </si>
  <si>
    <t xml:space="preserve">Répartition de la consommation par batiment pour les communes de +500hab  </t>
  </si>
  <si>
    <t xml:space="preserve">Ecoles </t>
  </si>
  <si>
    <t>Piscine</t>
  </si>
  <si>
    <t>Sport</t>
  </si>
  <si>
    <t>Administrations</t>
  </si>
  <si>
    <t>Socio</t>
  </si>
  <si>
    <t>Autres</t>
  </si>
  <si>
    <t xml:space="preserve">Répartition de la dépense par source d'énerge pour les bâtiments dans les communes de plus de 500 habitants </t>
  </si>
  <si>
    <t>Nous considérons que</t>
  </si>
  <si>
    <t>% Brun</t>
  </si>
  <si>
    <t>Elec</t>
  </si>
  <si>
    <t>Fioul domestique</t>
  </si>
  <si>
    <t>Fioul</t>
  </si>
  <si>
    <t>RDC</t>
  </si>
  <si>
    <t>Autre non-Enr</t>
  </si>
  <si>
    <t xml:space="preserve">A partir de cette répartition, nous établissons la part des dépenses énergétiques des bâtiments liées à des sources fossiles. </t>
  </si>
  <si>
    <t>Autre</t>
  </si>
  <si>
    <t>TOTAL hors électricité</t>
  </si>
  <si>
    <t xml:space="preserve">Pour les carburants </t>
  </si>
  <si>
    <t xml:space="preserve">Carburant utilisé par les collectivités </t>
  </si>
  <si>
    <t xml:space="preserve">La flotte totale de véhicules des communes est de 190 000 unités dont 175 000 véhicules à moteur. </t>
  </si>
  <si>
    <t>UL</t>
  </si>
  <si>
    <t>2R</t>
  </si>
  <si>
    <t xml:space="preserve">Nous considérons que </t>
  </si>
  <si>
    <t xml:space="preserve">Flotte de véhicules motorisés selon le type de carburant (communes) </t>
  </si>
  <si>
    <t>%brun</t>
  </si>
  <si>
    <t>Gazole</t>
  </si>
  <si>
    <t>Essence</t>
  </si>
  <si>
    <t>dont GPL</t>
  </si>
  <si>
    <t>dont Elec</t>
  </si>
  <si>
    <t>dont GNV</t>
  </si>
  <si>
    <t>dont bio</t>
  </si>
  <si>
    <t>dont hybride</t>
  </si>
  <si>
    <t xml:space="preserve">Sur la base de ces estimations, datées, nous estimons les dépenses brunes liées aux carburants. </t>
  </si>
  <si>
    <t xml:space="preserve">Dépenses brunes des collectivités , énergétiques : </t>
  </si>
  <si>
    <t>Dépenses énergétiques brunes (€)</t>
  </si>
  <si>
    <t xml:space="preserve">export synthèse </t>
  </si>
  <si>
    <t>Dépenses énergétiques brunes (M€)</t>
  </si>
  <si>
    <t>Masse salariale et achats des collectivités territoriales.pdf</t>
  </si>
  <si>
    <t>(sources)</t>
  </si>
  <si>
    <t>(liens)</t>
  </si>
  <si>
    <t xml:space="preserve">Effets prix/volume des collectivités </t>
  </si>
  <si>
    <t>PRX_2025</t>
  </si>
  <si>
    <t>Non-résidents = entreprises, administrations publiques, professionnels (ex: taxis)</t>
  </si>
  <si>
    <t>Electricité</t>
  </si>
  <si>
    <t>Synthèse du prix de l'électricité payé par les sites moyens non résidentiels</t>
  </si>
  <si>
    <t>Fourniture</t>
  </si>
  <si>
    <t>€ / MWh</t>
  </si>
  <si>
    <t>Réseau</t>
  </si>
  <si>
    <t>TICFE</t>
  </si>
  <si>
    <t>Autres taxes</t>
  </si>
  <si>
    <t>Prix HTVA</t>
  </si>
  <si>
    <t>Prix du gaz pour les non-résidents</t>
  </si>
  <si>
    <t>Prix HT</t>
  </si>
  <si>
    <t>€ / GJ</t>
  </si>
  <si>
    <t>Taxes hors TVA</t>
  </si>
  <si>
    <t>TVA</t>
  </si>
  <si>
    <t>Prix TTC</t>
  </si>
  <si>
    <t>€ / MWh PCS</t>
  </si>
  <si>
    <t>Prix des produits pétroliers</t>
  </si>
  <si>
    <t>Fioul domestique - Livraisons de 2000 à 4999L</t>
  </si>
  <si>
    <t>HTT</t>
  </si>
  <si>
    <t>TTC</t>
  </si>
  <si>
    <t>Fioul domestique - Livraisons de plus de 27 000L</t>
  </si>
  <si>
    <t>Fioul lourd</t>
  </si>
  <si>
    <t>€ / tonne</t>
  </si>
  <si>
    <t>HTVA</t>
  </si>
  <si>
    <t>Bois-énergie</t>
  </si>
  <si>
    <t>Prix des plaquettes forestières C2</t>
  </si>
  <si>
    <t>Prix HT hors livraison</t>
  </si>
  <si>
    <t>Prix HT de la livraison</t>
  </si>
  <si>
    <t>Super SP95</t>
  </si>
  <si>
    <t>Super SP95-E10</t>
  </si>
  <si>
    <t>Super SP98</t>
  </si>
  <si>
    <t xml:space="preserve">Essence </t>
  </si>
  <si>
    <t>GPLc</t>
  </si>
  <si>
    <t>Chaleur</t>
  </si>
  <si>
    <t>Prix de la chaleur vendue</t>
  </si>
  <si>
    <t>Industrie</t>
  </si>
  <si>
    <t>€ HTVA / MWh</t>
  </si>
  <si>
    <t>Secteurs autre que industrie</t>
  </si>
  <si>
    <t>€ TTC / MWh</t>
  </si>
  <si>
    <t>Comparaisons</t>
  </si>
  <si>
    <t>Compraison de l'évolution des prix des énergies</t>
  </si>
  <si>
    <t>Base 100 - 2011</t>
  </si>
  <si>
    <t xml:space="preserve">Dépenses CT </t>
  </si>
  <si>
    <t>Bâtiments (€)</t>
  </si>
  <si>
    <t>ElecTOT</t>
  </si>
  <si>
    <t>GazTOT</t>
  </si>
  <si>
    <t>Fioul domestiqueTOT</t>
  </si>
  <si>
    <t>RDCTOT</t>
  </si>
  <si>
    <t>AutreTOT</t>
  </si>
  <si>
    <t>Bâtiments (unités)</t>
  </si>
  <si>
    <t>(unité)</t>
  </si>
  <si>
    <t>Mwh</t>
  </si>
  <si>
    <t>MwhPCS</t>
  </si>
  <si>
    <t>tonnes</t>
  </si>
  <si>
    <t>Carburants (€)</t>
  </si>
  <si>
    <t>GazoleTOT</t>
  </si>
  <si>
    <t>EssenceTOT</t>
  </si>
  <si>
    <t>dont GPLTOT</t>
  </si>
  <si>
    <t>dont ElecTOT</t>
  </si>
  <si>
    <t>dont GNVTOT</t>
  </si>
  <si>
    <t>dont bioTOT</t>
  </si>
  <si>
    <t>dont hybrideTOT</t>
  </si>
  <si>
    <t>Carburants (unités)</t>
  </si>
  <si>
    <t>litres</t>
  </si>
  <si>
    <t>Kwh</t>
  </si>
  <si>
    <t>Contrefactuel - bâtiments</t>
  </si>
  <si>
    <t>Contrefactuel - carburants</t>
  </si>
  <si>
    <t>Variations avec dépense réelle</t>
  </si>
  <si>
    <t xml:space="preserve">RECAP - deux lignes de dépenses </t>
  </si>
  <si>
    <t xml:space="preserve">Total dépenses réel </t>
  </si>
  <si>
    <t xml:space="preserve">Dépenses éclairage public </t>
  </si>
  <si>
    <t xml:space="preserve">Communes </t>
  </si>
  <si>
    <t xml:space="preserve">GFP </t>
  </si>
  <si>
    <t xml:space="preserve">Consommations éclairage public </t>
  </si>
  <si>
    <t>TOTAL (Mwh)</t>
  </si>
  <si>
    <t xml:space="preserve">Contrefactuel éclairage public </t>
  </si>
  <si>
    <t>Coût (€)</t>
  </si>
  <si>
    <t>Différence côut (€)</t>
  </si>
  <si>
    <t xml:space="preserve">Effets prix / volume / croisé par période  - éclairage public </t>
  </si>
  <si>
    <t>D2017-2022</t>
  </si>
  <si>
    <t>EP2017-2022</t>
  </si>
  <si>
    <t>EV2017-2022</t>
  </si>
  <si>
    <t>EC2017-2022</t>
  </si>
  <si>
    <t xml:space="preserve">Effets prix / volume / croisé par période  - Bâtiments </t>
  </si>
  <si>
    <t>D2017-2023</t>
  </si>
  <si>
    <t>EP2017-2023</t>
  </si>
  <si>
    <t>EV2017-2023</t>
  </si>
  <si>
    <t>EC2017-2023</t>
  </si>
  <si>
    <t>LBP</t>
  </si>
  <si>
    <t>DJU 17°C</t>
  </si>
  <si>
    <t>DJU de référence (moyenne sur la période 1991-2020)</t>
  </si>
  <si>
    <t>DJU</t>
  </si>
  <si>
    <t>Indice de rigueur</t>
  </si>
  <si>
    <t>Construction neuve des bâtiments tertiaires</t>
  </si>
  <si>
    <t>Cette fiche recense l'ensemble des dépenses liées à la construction neuve de bâtiments tertiaires</t>
  </si>
  <si>
    <t xml:space="preserve">Tout bâtiment tertiaire engendrant de l'artificialisation ou ne respectant pas les seuils de performance entre dans la catégorie sont considérés comme défavorables. </t>
  </si>
  <si>
    <t xml:space="preserve">La méthodologie diffère donc de celle employée par le PanoNAT qui prend en considération l'ensemble des dépenses n'ayant pas trait à de la performance énergétique. </t>
  </si>
  <si>
    <t>Estimation dépenses défavorables à l'environnement</t>
  </si>
  <si>
    <t>Nous calculons l'évolution des surfaces chauffées pour chaque type de bâtiments neufs</t>
  </si>
  <si>
    <t>BAT_2025_€TER_NEUF_1071</t>
  </si>
  <si>
    <t xml:space="preserve">Nous attribuons certains types de bâtiments aux collectivités territoriales. </t>
  </si>
  <si>
    <t>Performance énergétique</t>
  </si>
  <si>
    <t>Hors performance énergétique</t>
  </si>
  <si>
    <t xml:space="preserve">En reprenant la méthode BV - ETAT </t>
  </si>
  <si>
    <t xml:space="preserve">TOTAL dépenses brunes </t>
  </si>
  <si>
    <t>Nous pouvons également procéder en partant des données budgétaires des collectivités</t>
  </si>
  <si>
    <t xml:space="preserve">BP+BA Constructions (2313 2314 213 214) </t>
  </si>
  <si>
    <t>Commune</t>
  </si>
  <si>
    <t>Paris</t>
  </si>
  <si>
    <t>EPT</t>
  </si>
  <si>
    <t>Département</t>
  </si>
  <si>
    <t>Région</t>
  </si>
  <si>
    <t>CTU</t>
  </si>
  <si>
    <t xml:space="preserve">Ensemble </t>
  </si>
  <si>
    <t>Comptes 23 et 21 LBP</t>
  </si>
  <si>
    <t xml:space="preserve">Comptes collectivité </t>
  </si>
  <si>
    <t>213 +214+2313+2314</t>
  </si>
  <si>
    <t xml:space="preserve">TOTAL dépenses bâtimentaires </t>
  </si>
  <si>
    <t xml:space="preserve">Dépenses dans le neuf (ratio IGF) </t>
  </si>
  <si>
    <t>export synthèse</t>
  </si>
  <si>
    <t>Investissements des collectivités territoriales dans la construction neuve dans ses bâtiments</t>
  </si>
  <si>
    <t>FIN_BAT_2025_+COLT_NEUF_46</t>
  </si>
  <si>
    <t>Intitulé</t>
  </si>
  <si>
    <t>Destination</t>
  </si>
  <si>
    <t>D</t>
  </si>
  <si>
    <t xml:space="preserve">Véhicules légers thermiques </t>
  </si>
  <si>
    <t>Historique</t>
  </si>
  <si>
    <t>Cette fiche recense les investissements des collectivités dans les véhicules thermiques fossiles</t>
  </si>
  <si>
    <t xml:space="preserve">L'équipe Pano utilise une réflexion par motorisation, mais dont le résultat final devrait être assez proche de celle par g/CO2. </t>
  </si>
  <si>
    <t>Estimation des dépenses défavorables à l'environnement</t>
  </si>
  <si>
    <t xml:space="preserve">Nous partons des chroniques d'immatriculation des véhicules particuliers neufs données par le SDES et appliquons des coûts unitaires </t>
  </si>
  <si>
    <t xml:space="preserve">Nous attribuons aux collectivités les achats correpondant à leur part dans la flotte totale de véhicules en partant de l'étude IGF (2023). </t>
  </si>
  <si>
    <t>Extractions</t>
  </si>
  <si>
    <t>TRA_2025_€VPAF_1026</t>
  </si>
  <si>
    <t>Electriques</t>
  </si>
  <si>
    <t>(véhicules)</t>
  </si>
  <si>
    <t>(favorables)</t>
  </si>
  <si>
    <t>Hybrides rechargeables</t>
  </si>
  <si>
    <t>(en transition)</t>
  </si>
  <si>
    <t>GNV ou GPL</t>
  </si>
  <si>
    <t>(défavorables)</t>
  </si>
  <si>
    <t>Hybrides non rechargeables</t>
  </si>
  <si>
    <t>D'après le SDES</t>
  </si>
  <si>
    <t xml:space="preserve">total Véhicules défavorables </t>
  </si>
  <si>
    <t xml:space="preserve">Immatriculations totales </t>
  </si>
  <si>
    <t>Evolution des immatriculations</t>
  </si>
  <si>
    <t>Evolution  2017-2023</t>
  </si>
  <si>
    <t>Evolution 2011-2023</t>
  </si>
  <si>
    <t>Moyenne 2020-2025</t>
  </si>
  <si>
    <t>véhicules/an</t>
  </si>
  <si>
    <t>Moyenne 2014-2020</t>
  </si>
  <si>
    <t>Evolution des immatriculations de véhicules défavorables</t>
  </si>
  <si>
    <t>(neutres)</t>
  </si>
  <si>
    <t>(non classé)</t>
  </si>
  <si>
    <t>TRA_2024_€VPAF_818</t>
  </si>
  <si>
    <t>Prix unitaire des différentes motorisations</t>
  </si>
  <si>
    <t>(K EUR / unité)</t>
  </si>
  <si>
    <t>Autres énergies</t>
  </si>
  <si>
    <t>Trajectoire dépenses brunes horizon 2035</t>
  </si>
  <si>
    <t>FIN_VEH_2025_Scénarios_251</t>
  </si>
  <si>
    <t>Coût des véhicules pour les collectivités</t>
  </si>
  <si>
    <t>Scénario 2  : Mesures actées pour l'avenir</t>
  </si>
  <si>
    <t>En euros</t>
  </si>
  <si>
    <t>Voitures électriques</t>
  </si>
  <si>
    <t>VUL électriques</t>
  </si>
  <si>
    <t>Véhicules thermiques</t>
  </si>
  <si>
    <t>Voitures hybrides rechargeables</t>
  </si>
  <si>
    <t>Voitures thermiques</t>
  </si>
  <si>
    <t>VUL thermiques</t>
  </si>
  <si>
    <t>En nombre de véhicules</t>
  </si>
  <si>
    <t>km</t>
  </si>
  <si>
    <t>(nombre)</t>
  </si>
  <si>
    <t xml:space="preserve">VUL thermiques </t>
  </si>
  <si>
    <t xml:space="preserve">Nous attribuons aux collectivités les achats correpondant à leur part dans la flotte totale de véhicules. </t>
  </si>
  <si>
    <t>TRA_2025_€VUL_1185</t>
  </si>
  <si>
    <t>Investissements dans les VUL par porteur de projet</t>
  </si>
  <si>
    <t>VUL hybrides</t>
  </si>
  <si>
    <t>VUL GNV</t>
  </si>
  <si>
    <t>Immatriculations des VUL</t>
  </si>
  <si>
    <t>VUL hybrides rechargeables</t>
  </si>
  <si>
    <t>BUS&amp;CAR Thermiques</t>
  </si>
  <si>
    <t xml:space="preserve">La prise en compte est la même, mais diffère de la méthodologie utilisée par l'état (ensemble des TC en vert). </t>
  </si>
  <si>
    <t xml:space="preserve">Nous partons des chroniques d'immatriculation des véhicules neufs données par le SDES et appliquons des coûts unitaires </t>
  </si>
  <si>
    <t>TRA_2025_€BUS&amp;CAR_750</t>
  </si>
  <si>
    <t>Séries d'immatriculations retenues dans les autobus et autocars diesel</t>
  </si>
  <si>
    <t>Autobus</t>
  </si>
  <si>
    <t>Entreprises du secteur des transports routiers de voyageurs</t>
  </si>
  <si>
    <t>Collectivités publiques</t>
  </si>
  <si>
    <t>Autocars</t>
  </si>
  <si>
    <t xml:space="preserve">Total Collectivités </t>
  </si>
  <si>
    <t>[2011-2022]</t>
  </si>
  <si>
    <t>Nous gardons la chronique des immatriculations du SDES (RSVERO)</t>
  </si>
  <si>
    <t>[2023]</t>
  </si>
  <si>
    <t>Pour le prévisionnel, nous appliquons le taux de croissance entre le Q1 2022 et le Q2 2023 donné par l'ACEA au total de l'année 2022 selon le SDES RSVERO.</t>
  </si>
  <si>
    <t>(nombre de véhicules)</t>
  </si>
  <si>
    <t>Transports routiers réguliers de voyageurs (NAF 49.39A)</t>
  </si>
  <si>
    <t>Autres transports routiers de voyageurs (NAF 49.39B)</t>
  </si>
  <si>
    <t>RATP (NAF 49.31Z)</t>
  </si>
  <si>
    <t>Transports urbains et suburbains de voyage (NAF 49.31Z)</t>
  </si>
  <si>
    <t>Administration publique (NAF 84.11Z &amp; 84.13Z) / Autres secteurs</t>
  </si>
  <si>
    <t>A, B</t>
  </si>
  <si>
    <t>Datalab - Le transport collectif routier de voyageurs en 2015 : circulation et parc en progression, parcours moyen stable</t>
  </si>
  <si>
    <t>FranceHydrogène, AVERE, La transition de l’autocar vers des technologies zéro émission, octobre 2023</t>
  </si>
  <si>
    <t>Note : nous supposons que les autocars &amp; autobus qui n'appartiennent pas aux entreprises du secteur des transports routiers de voyageurs appartiennent aux collectivités territoriales.</t>
  </si>
  <si>
    <t>Note : ces chiffres présentent le stock d'autobus et d'autocars en circulation et non les flux.</t>
  </si>
  <si>
    <t>TRA_2025_€BUS&amp;CAR_840</t>
  </si>
  <si>
    <t>Investissements dans les bus et cars diesel</t>
  </si>
  <si>
    <t>TRA_2025_€BUS&amp;CAR</t>
  </si>
  <si>
    <t>Dépenses totales</t>
  </si>
  <si>
    <t>Bus électriques</t>
  </si>
  <si>
    <t xml:space="preserve">Bus hybrides </t>
  </si>
  <si>
    <t>Autobus GNV</t>
  </si>
  <si>
    <t xml:space="preserve">Bus diesel </t>
  </si>
  <si>
    <t>Cars diesel</t>
  </si>
  <si>
    <t xml:space="preserve">Trajectoire des dépenses défavorables </t>
  </si>
  <si>
    <t>dont climat</t>
  </si>
  <si>
    <t>Diesel</t>
  </si>
  <si>
    <t>Hydrogène</t>
  </si>
  <si>
    <t>GNV</t>
  </si>
  <si>
    <t xml:space="preserve">Cette fiche recense les investissements des collectivités dans le matériel roulant ferroviaire à motorisation diesel. </t>
  </si>
  <si>
    <t xml:space="preserve">A partir des comptes du transport. </t>
  </si>
  <si>
    <t>TRA_2025_€MR_FER_57</t>
  </si>
  <si>
    <t>Investissements dans les différentes branches du groupe SNCF</t>
  </si>
  <si>
    <t>SNCF Voyageurs *</t>
  </si>
  <si>
    <t>(M€)</t>
  </si>
  <si>
    <t>Transilien</t>
  </si>
  <si>
    <t>TER</t>
  </si>
  <si>
    <t>Transilien &amp; TER</t>
  </si>
  <si>
    <t>Transilien, TER &amp; Intercités</t>
  </si>
  <si>
    <t>TGV-Intercités</t>
  </si>
  <si>
    <t>Voyages SNCF ****</t>
  </si>
  <si>
    <t>Intercités</t>
  </si>
  <si>
    <t>Direction industrielle</t>
  </si>
  <si>
    <t>Total - SNCF Voyageurs</t>
  </si>
  <si>
    <t>Investissement pour le fret **</t>
  </si>
  <si>
    <t>Investissements logistiques</t>
  </si>
  <si>
    <t>Investissement total de SNCF Mobilités ***</t>
  </si>
  <si>
    <t>Investissement de SNCF Mobilités pour le matériel roulant</t>
  </si>
  <si>
    <t>* Comprend aussi la direction industrielle et autres</t>
  </si>
  <si>
    <t>** Correspond, selon les années, à SNCF Logistics, Fret SNCF ou Rail Logistics Europe</t>
  </si>
  <si>
    <t>*** Avant 2019, comprend SNCF Voyageurs mais aussi SNCF Gares et Connexions, SNCF Logistics (fret) et Keolis (TCU).</t>
  </si>
  <si>
    <t>**** En 2020, semble correspondre à TGV-Intercités, mais les années précédentes ne comprend que TGV</t>
  </si>
  <si>
    <t>TRA_2025_€MR_FER_120</t>
  </si>
  <si>
    <t>Investissements des entreprises de transport ferroviaire dans le matériel roulant retenus par le Panorama</t>
  </si>
  <si>
    <t>Série retenue - Total</t>
  </si>
  <si>
    <t>dont fossile</t>
  </si>
  <si>
    <t>dont IDF (Transilien)</t>
  </si>
  <si>
    <t>dont climat (hors Transilien)</t>
  </si>
  <si>
    <t>A5.1-a Transferts des administrations publiques aux opérateurs de transport collectif de voyageurs (SNCF, RATP, TCU de province) par type de réseaux</t>
  </si>
  <si>
    <t>SNCF-Intercités</t>
  </si>
  <si>
    <t>M(€)</t>
  </si>
  <si>
    <t>SNCF-TER</t>
  </si>
  <si>
    <t>SNCF-Transilien</t>
  </si>
  <si>
    <t>RATP</t>
  </si>
  <si>
    <t>TCUP (1) (2)</t>
  </si>
  <si>
    <t xml:space="preserve">Total collectivités </t>
  </si>
  <si>
    <t>Part du financement des CT sur les dépenses totales</t>
  </si>
  <si>
    <t xml:space="preserve">Nous attribuons aux collectivités les subventions d'investissements aux lignes TER + Transilien. </t>
  </si>
  <si>
    <t>Estimation des dépenses brunes :</t>
  </si>
  <si>
    <t>Discussion MDO</t>
  </si>
  <si>
    <t xml:space="preserve">Le parc Transilien est totalement électrique. </t>
  </si>
  <si>
    <t xml:space="preserve">Nous considérons que les dépenses brunes identifiées par le Panorama se répartissent entre les Intercités et les TER. </t>
  </si>
  <si>
    <t xml:space="preserve">Nous répartissons les investissements bruns entre les TER et les Intercités à la moyenne du pro-rata dans l'investissements dans les deux années (2018, 2019) où nous pouvons les distinguer au sein des investissements de SNCF. </t>
  </si>
  <si>
    <t xml:space="preserve">Pour cela : </t>
  </si>
  <si>
    <t>1. Nous commençons par déterminer, au sein des financements quelle part est dédiée aux TER :</t>
  </si>
  <si>
    <t>Part de l'investissement Transilien + TER dédiés aux TER</t>
  </si>
  <si>
    <t xml:space="preserve">Moyenne </t>
  </si>
  <si>
    <t xml:space="preserve">" </t>
  </si>
  <si>
    <t xml:space="preserve">2. Nous déterminons, au sein des investissements TER + Transilien la part des TER </t>
  </si>
  <si>
    <t>Part de l'investissement Transilien + Intercités attribué aux TER</t>
  </si>
  <si>
    <t>Investissements TER</t>
  </si>
  <si>
    <t>3. Nous comparons le poids des achats TER et Intercités</t>
  </si>
  <si>
    <t>Détermination du ratio entre achats TER et Interciés</t>
  </si>
  <si>
    <t>Moyenne</t>
  </si>
  <si>
    <t xml:space="preserve">Poids TER </t>
  </si>
  <si>
    <t xml:space="preserve">Poids Intercités </t>
  </si>
  <si>
    <t>4. Nous construisons la série de dépenses brunes attribuées aux collectivités, en :</t>
  </si>
  <si>
    <t xml:space="preserve">Nous appliquons aux dépenses brunes un taux moyen de 68%, ce qui permet d'isoler les dépenses brunes liées aux TER. </t>
  </si>
  <si>
    <t xml:space="preserve">Nous appliquons à ces dépenses brunes, la part de financement des collectivités </t>
  </si>
  <si>
    <t xml:space="preserve">Dépenses brunes des TER et financements CT </t>
  </si>
  <si>
    <t xml:space="preserve">Dépenses brunes liées au TER </t>
  </si>
  <si>
    <t xml:space="preserve">Dépenses brunes collectivités </t>
  </si>
  <si>
    <t>Evolution des dépenses défavorables</t>
  </si>
  <si>
    <t>Moyenne  2017-2023</t>
  </si>
  <si>
    <t>M€</t>
  </si>
  <si>
    <t>Moyenne 2012-2017</t>
  </si>
  <si>
    <t>Moyenne 2012-2023</t>
  </si>
  <si>
    <t>Routes</t>
  </si>
  <si>
    <t xml:space="preserve">Cette fiche recense les investissements dans les infrastructures routières. </t>
  </si>
  <si>
    <t xml:space="preserve">Nous disposons de différentes sources nous permettant de déterminer, à l'échelle nationale, les investissements dans les infrastructures routières : </t>
  </si>
  <si>
    <t>TRA_2024_€ROUTE_32</t>
  </si>
  <si>
    <t>Investissements dans les infrastructures routières d'après le Compte des transports</t>
  </si>
  <si>
    <t>Domaine concédé</t>
  </si>
  <si>
    <t>Domaine non concédé</t>
  </si>
  <si>
    <t xml:space="preserve">—dont réseau départ. et local </t>
  </si>
  <si>
    <t>—dont réseau national</t>
  </si>
  <si>
    <t>BIS 192 - les dépenses de voirie 2013-2023 v4.pdf</t>
  </si>
  <si>
    <t>Investissements dans les infrastructures routières d'après le BIS 192 de la DGCL</t>
  </si>
  <si>
    <t>Dépense totale</t>
  </si>
  <si>
    <t>Mds €</t>
  </si>
  <si>
    <t xml:space="preserve">Dépenses de fonctionnement </t>
  </si>
  <si>
    <t>ratio DI/DTOT</t>
  </si>
  <si>
    <t>Extractions LBP</t>
  </si>
  <si>
    <t>Investissements dans les infrastructures routières d'après données comptables DGFIP</t>
  </si>
  <si>
    <t>Dépenses de voirie - reconstitution 1</t>
  </si>
  <si>
    <t xml:space="preserve">Réseaux de voirie </t>
  </si>
  <si>
    <t xml:space="preserve"> Installations de voirie</t>
  </si>
  <si>
    <t>Reconstitution - 2 avec poids fonction</t>
  </si>
  <si>
    <t xml:space="preserve">Si leurs ordres de grandeur convergent, malhereusement,  ces chiffres ne distinguent pas entre investissements dans de nouvelles infrastructures routières et entretien de la voirie existante. </t>
  </si>
  <si>
    <t>dossier-de-presse-ag-2015-usirf.pdf</t>
  </si>
  <si>
    <t xml:space="preserve">Nous décidons de reprendre la méthode IGF. </t>
  </si>
  <si>
    <t xml:space="preserve">Dépenses voirie nouvelle en 2022 </t>
  </si>
  <si>
    <t xml:space="preserve">Dépense </t>
  </si>
  <si>
    <t>Nous construisons des ratios un ratio (dépenses voirie neuve / dépense d'investissement voirie) sur la base des dépenses constatées en 2022</t>
  </si>
  <si>
    <t>Ratio 1 - Compte des transports</t>
  </si>
  <si>
    <t>Ratio 2 - BIS</t>
  </si>
  <si>
    <t>Ratio 3 - Extraction LBP</t>
  </si>
  <si>
    <t xml:space="preserve">Cela nous permet de reconstituer la série historique suivante : </t>
  </si>
  <si>
    <t>Séries dépenses brunes</t>
  </si>
  <si>
    <t>Pour intégrer la sobriété, nous prenons les hypothèses AMS utilisées par le Panorama des financements climat (I4CE,2023)</t>
  </si>
  <si>
    <t xml:space="preserve">L'AMS mis en consultation ne permet pas d'avoir ces données. </t>
  </si>
  <si>
    <t>Réseau routier secondaire</t>
  </si>
  <si>
    <t>Constructions annuelles</t>
  </si>
  <si>
    <t>(km)</t>
  </si>
  <si>
    <t>Etendue du réseau</t>
  </si>
  <si>
    <t>(milliers de km)</t>
  </si>
  <si>
    <t xml:space="preserve">Nous constatons les évolutions suivantes dans la construction annuelle de voirie </t>
  </si>
  <si>
    <t>2025-2030</t>
  </si>
  <si>
    <t>2025-2050</t>
  </si>
  <si>
    <t>Autoroutes concédées</t>
  </si>
  <si>
    <t>Foire aux questions (FAQ) | Portail de l'artificialisation des sols</t>
  </si>
  <si>
    <t>Les routes et voies ferrées sont représentées sous forme de lignes. Un tampon est appliqué sur chaque ligne: + 4 m autour de la ligne pour les routes</t>
  </si>
  <si>
    <t xml:space="preserve">Financements de la restauration collective </t>
  </si>
  <si>
    <t>Cette fiche recense la part des dépenses publiques liées à la restauration collective dans les cantines ne proposant pas un repas végétarien hebdomadaire.</t>
  </si>
  <si>
    <r>
      <t xml:space="preserve">Prise en compte par </t>
    </r>
    <r>
      <rPr>
        <b/>
        <i/>
        <sz val="11"/>
        <color rgb="FF002060"/>
        <rFont val="Aptos Narrow"/>
        <family val="2"/>
        <scheme val="minor"/>
      </rPr>
      <t xml:space="preserve">Les financements publics du système alimentaire français (I4CE, 2024) </t>
    </r>
  </si>
  <si>
    <t>Nous considérons que seules les dépenses d’approvisionnement en denrées (27%) peuvent être consi_x0002_dérées comme favorables ou défa_x0002_vorables, en fonction à la fois de la part de produits bio et le nombre de repas végétariens proposés.</t>
  </si>
  <si>
    <t>Pour l’année 2018, la loi EGALIM n’étant pas encore en vigueur, la totalité des dépenses d’appro visionnement sont considérées comme Incertain orientable .</t>
  </si>
  <si>
    <t>Pour l’année 2021, nous distinguons deux cas : Les cantines déclarant un repas végétarien hebdomadaire obligatoire (38%)</t>
  </si>
  <si>
    <t>Les autres (62%) : parmi celles-ci, nous considérons donc l’absence de repas hebdomadaire végétarien comme Défavorable (62% x 20%)</t>
  </si>
  <si>
    <t>DETAIL - Extraction comptable</t>
  </si>
  <si>
    <t>Ensemble achats alimentation</t>
  </si>
  <si>
    <t>/stats · Metabase</t>
  </si>
  <si>
    <t>En 2023, parmi les cantines ayant renseigné un chiffre sur la plateforme Macantine</t>
  </si>
  <si>
    <t xml:space="preserve">Option végétarienne 2022 </t>
  </si>
  <si>
    <t xml:space="preserve">Alternatives </t>
  </si>
  <si>
    <t>Plusieurs par semaine</t>
  </si>
  <si>
    <t>Unique</t>
  </si>
  <si>
    <t>Aucune</t>
  </si>
  <si>
    <t>Restauration collective</t>
  </si>
  <si>
    <t xml:space="preserve">Part de bio </t>
  </si>
  <si>
    <t xml:space="preserve">Cantines ne déclarant pas 1 repas végétarien hebdo </t>
  </si>
  <si>
    <t>Plateforme ma cantine : Chiffres 2023 | ABioDoc</t>
  </si>
  <si>
    <t>Chiffres bio année 2023</t>
  </si>
  <si>
    <t>Restauration collective : 27,5% de produits durables et de qualité en 2022</t>
  </si>
  <si>
    <t>Chiffres bio année 2022</t>
  </si>
  <si>
    <t>Le bio séduit la restauration collective - Agro Media</t>
  </si>
  <si>
    <t>Chiffres bio année 2015</t>
  </si>
  <si>
    <t>etude_sectorielle_restauration_2019_09_05.pdf</t>
  </si>
  <si>
    <t>Chiffres bio année 2018</t>
  </si>
  <si>
    <t>Etude d'impact sur le texte, n° 627 - 15e législature - Assemblée nationale</t>
  </si>
  <si>
    <t xml:space="preserve">Chiffres bio année 2018 </t>
  </si>
  <si>
    <t>AVF_Enquete EGalim menu vege_Synthèse_fev2024</t>
  </si>
  <si>
    <t xml:space="preserve">Chiffres repas végétariens année 2023 - pour les cantines scolaires seulement, mais appliqués à l'ensemble des dépenses </t>
  </si>
  <si>
    <t>Sur mon territoire - ma cantine</t>
  </si>
  <si>
    <t xml:space="preserve">Chiffres repas végétariens 2022 et bio 2021 et 2020 </t>
  </si>
  <si>
    <t>Les financements publics du système alimentaire français</t>
  </si>
  <si>
    <t>Chiffres repas végétariens 2021</t>
  </si>
  <si>
    <t xml:space="preserve">Méthode de calcul des dépenses brunes </t>
  </si>
  <si>
    <t xml:space="preserve">Part de cantines ne respectant pas le repas végétarien x 20% (repas végétarien non assuré) </t>
  </si>
  <si>
    <t xml:space="preserve">Méthode I4CE, 2024 </t>
  </si>
  <si>
    <t>Méthode I4CE, 2022</t>
  </si>
  <si>
    <t>Introduction repas végétarien</t>
  </si>
  <si>
    <t>Titre (100 caractères maxi)</t>
  </si>
  <si>
    <t xml:space="preserve">Diminution des coûts </t>
  </si>
  <si>
    <t>Economies 2023</t>
  </si>
  <si>
    <t>Par exemple, le surcoût d’une alimentation durable prévue par la loi EGAlim a été estimé autour de 5 %, sous certaines hypothèses, par l’Ademe.</t>
  </si>
  <si>
    <t xml:space="preserve">Ici l'enjeu est de différencier le matériel des logiciels et bien non-matériels. </t>
  </si>
  <si>
    <t xml:space="preserve">Comptes BP+BA 2010-2024 </t>
  </si>
  <si>
    <t>Matériel Informatique</t>
  </si>
  <si>
    <t>Matériel de téléphonie</t>
  </si>
  <si>
    <t>Evolution des consommations d'énergie totales du secteur tertiaire (TWh Ef/an)</t>
  </si>
  <si>
    <t>TWh EF/an PCI</t>
  </si>
  <si>
    <t>Gaz réseau</t>
  </si>
  <si>
    <t xml:space="preserve">  dont gaz réseau fossile</t>
  </si>
  <si>
    <t xml:space="preserve">  dont gaz réseau renouvelable et synthétique</t>
  </si>
  <si>
    <t>Produits pétroliers</t>
  </si>
  <si>
    <t>Biomasse solide</t>
  </si>
  <si>
    <t>Solaire thermique et géothermie</t>
  </si>
  <si>
    <t>Chaleur de l'environnement</t>
  </si>
  <si>
    <t xml:space="preserve">Périmètre Kyoto, SDES bilans d'énergie 2022, Projections DGEC. Il peut exister des différences entre ces résultats de consommation et les consommations d'énergie en sortie de chaque modèle sectoriel en raison de corrections statistiques sur les années de référence sur les bilans SDES. </t>
  </si>
  <si>
    <t xml:space="preserve">AMS mise en consultation </t>
  </si>
  <si>
    <t>PRO</t>
  </si>
  <si>
    <t>Variation 2021-2030 (en%)</t>
  </si>
  <si>
    <t>dont renouv</t>
  </si>
  <si>
    <t>Passage en TWh</t>
  </si>
  <si>
    <t>TWh</t>
  </si>
  <si>
    <t>TWhPCS</t>
  </si>
  <si>
    <t>Le calcul des équivalences litres fioul/tonnes repose sur des règles de conversion standardisées : 1 litre de fioul = 10 kWh.</t>
  </si>
  <si>
    <t>Convertir le fioul domestique Règles de conversion</t>
  </si>
  <si>
    <t xml:space="preserve">Nous estimons que le ratio de 36% de bâtiments publics construits sur des terres artificialisées est divisé par 2 en 2031 et baisse progressivement jusqu'à atteindre 0 en 2050, en conformité avec la loi ZAN. </t>
  </si>
  <si>
    <t>Ratio d'artificialisation des bâtiments publics en %</t>
  </si>
  <si>
    <t xml:space="preserve">Appliquons ces ratios aux montants de construction projetés </t>
  </si>
  <si>
    <t>Estimation investissements des collectivités dans la construction neuve de bâtiments AMS3 (M€)</t>
  </si>
  <si>
    <t>évolution construction annuelle</t>
  </si>
  <si>
    <t>/</t>
  </si>
  <si>
    <t>Les réseaux de chaleur et froid en 2024 | Données et études statistiques</t>
  </si>
  <si>
    <t xml:space="preserve">Prolongation en 2024, car bilan des transports pas encore sorti </t>
  </si>
  <si>
    <t>Indice des prix du PIB retenu</t>
  </si>
  <si>
    <t>Indice PIB</t>
  </si>
  <si>
    <t>(base 2020)</t>
  </si>
  <si>
    <t>Evolution annuelle du déflateur du PIB</t>
  </si>
  <si>
    <t>OBJ 2025</t>
  </si>
  <si>
    <t>OBJ2030</t>
  </si>
  <si>
    <t>en M€ 2023</t>
  </si>
  <si>
    <t xml:space="preserve">Passage en euros 2023 </t>
  </si>
  <si>
    <t>M€2024</t>
  </si>
  <si>
    <t xml:space="preserve">Energie </t>
  </si>
  <si>
    <t>Delta</t>
  </si>
  <si>
    <t>Consommations d'énergie</t>
  </si>
  <si>
    <t>Evolution des consommations d'énergie (TWh)</t>
  </si>
  <si>
    <t>TWh PCI</t>
  </si>
  <si>
    <t>Pétrole brut</t>
  </si>
  <si>
    <t>Produits pétroliers raffinés</t>
  </si>
  <si>
    <t>Carburants synthétiques</t>
  </si>
  <si>
    <t>Gaz synthétique</t>
  </si>
  <si>
    <t>EnR électriques</t>
  </si>
  <si>
    <t>Biocarburants</t>
  </si>
  <si>
    <t>Gaz renouvelable</t>
  </si>
  <si>
    <t>Électricité</t>
  </si>
  <si>
    <t>Chaleur vendue</t>
  </si>
  <si>
    <t>Périmètre Kyoto, SDES bilans d'énergie 2022,Projections DGEC</t>
  </si>
  <si>
    <t xml:space="preserve">Produits pétroliers </t>
  </si>
  <si>
    <t xml:space="preserve">Total économies 2030 : </t>
  </si>
  <si>
    <t>2025-2035</t>
  </si>
  <si>
    <t>2024-2035</t>
  </si>
  <si>
    <t>INV des CT dans la construction neuve de routes (M€)</t>
  </si>
  <si>
    <t>Dépenses énergétiques des bâtiments</t>
  </si>
  <si>
    <t xml:space="preserve">Delta 2023-2030 </t>
  </si>
  <si>
    <t xml:space="preserve">Consommation d'espaces NAF en hectares entre le 1er janvier 2011 et le 1er janvier 2024 </t>
  </si>
  <si>
    <t>Portail de l'artificialisation des sols</t>
  </si>
  <si>
    <t>TOT</t>
  </si>
  <si>
    <t>routes</t>
  </si>
  <si>
    <t>Analyse_régionale_Bretagne_PDL_2014_DTerOuest</t>
  </si>
  <si>
    <t xml:space="preserve">D'après cette étude du CEREMA : le coût de la chaussée, sans les travaux de terrassement d'une voie bidirectionnele est entre 254€/m et 316€/m </t>
  </si>
  <si>
    <t>Nous utilisons l'indicateur TP08 de l'INSEE (aménagements et entretiens de voirie) pour modéliser les évolutions du coût du la réalisation d'un kilomètre</t>
  </si>
  <si>
    <t>Libellé</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</si>
  <si>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</si>
  <si>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</si>
  <si>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</si>
  <si>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</si>
  <si>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</si>
  <si>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</si>
  <si>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</si>
  <si>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</si>
  <si>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</si>
  <si>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</si>
  <si>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</si>
  <si>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</si>
  <si>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</si>
  <si>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</si>
  <si>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</si>
  <si>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</si>
  <si>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</si>
  <si>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</si>
  <si>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</si>
  <si>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</si>
  <si>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</si>
  <si>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</si>
  <si>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</si>
  <si>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</si>
  <si>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</si>
  <si>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</si>
  <si>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</si>
  <si>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</si>
  <si>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</si>
  <si>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</si>
  <si>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</si>
  <si>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</si>
  <si>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</si>
  <si>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</si>
  <si>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</si>
  <si>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</si>
  <si>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</si>
  <si>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</si>
  <si>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</si>
  <si>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</si>
  <si>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</si>
  <si>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</si>
  <si>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</si>
  <si>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</si>
  <si>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</si>
  <si>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</si>
  <si>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</si>
  <si>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</si>
  <si>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</si>
  <si>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</si>
  <si>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</si>
  <si>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</si>
  <si>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</si>
  <si>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</si>
  <si>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</si>
  <si>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</si>
  <si>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</si>
  <si>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</si>
  <si>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</si>
  <si>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</si>
  <si>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</si>
  <si>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</si>
  <si>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</si>
  <si>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</si>
  <si>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</si>
  <si>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</si>
  <si>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</si>
  <si>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</si>
  <si>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</si>
  <si>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</si>
  <si>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</si>
  <si>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</si>
  <si>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</si>
  <si>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</si>
  <si>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</si>
  <si>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</si>
  <si>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</si>
  <si>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</si>
  <si>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</si>
  <si>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</si>
  <si>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</si>
  <si>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</si>
  <si>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</si>
  <si>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</si>
  <si>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</si>
  <si>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</si>
  <si>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</si>
  <si>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</si>
  <si>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</si>
  <si>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</si>
  <si>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</si>
  <si>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</si>
  <si>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</si>
  <si>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</si>
  <si>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</si>
  <si>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</si>
  <si>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</si>
  <si>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</si>
  <si>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</si>
  <si>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</si>
  <si>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</si>
  <si>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</si>
  <si>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</si>
  <si>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</si>
  <si>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</si>
  <si>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</si>
  <si>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</si>
  <si>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</si>
  <si>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</si>
  <si>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</si>
  <si>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</si>
  <si>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</si>
  <si>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</si>
  <si>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</si>
  <si>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</si>
  <si>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</si>
  <si>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</si>
  <si>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</si>
  <si>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</si>
  <si>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</si>
  <si>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</si>
  <si>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</si>
  <si>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</si>
  <si>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</si>
  <si>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</si>
  <si>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</si>
  <si>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</si>
  <si>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</si>
  <si>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</si>
  <si>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</si>
  <si>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</si>
  <si>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</si>
  <si>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</si>
  <si>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</si>
  <si>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</si>
  <si>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</si>
  <si>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</si>
  <si>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</si>
  <si>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</si>
  <si>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</si>
  <si>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</si>
  <si>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</si>
  <si>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</si>
  <si>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</si>
  <si>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</si>
  <si>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</si>
  <si>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</si>
  <si>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</si>
  <si>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</si>
  <si>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</si>
  <si>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</si>
  <si>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</si>
  <si>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</si>
  <si>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</si>
  <si>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</si>
  <si>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</si>
  <si>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</si>
  <si>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</si>
  <si>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</si>
  <si>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</si>
  <si>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</si>
  <si>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</si>
  <si>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</si>
  <si>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</si>
  <si>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</si>
  <si>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</si>
  <si>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</si>
  <si>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</si>
  <si>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</si>
  <si>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</si>
  <si>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</si>
  <si>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</si>
  <si>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</si>
  <si>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</si>
  <si>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</si>
  <si>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</si>
  <si>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</si>
  <si>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</si>
  <si>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</si>
  <si>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</si>
  <si>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</si>
  <si>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</si>
  <si>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</si>
  <si>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</si>
  <si>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</si>
  <si>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</si>
  <si>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</si>
  <si>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</si>
  <si>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</si>
  <si>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Index Travaux Publics - TP08 - Travaux d'aménagement et entretien de voirie en zones rurale et urbaine - Base 2010</t>
  </si>
  <si>
    <t>(O)</t>
  </si>
  <si>
    <t xml:space="preserve">Pour les années 2011 à 2014 nous étirons de la valeur de 2014 à100 en 2010 (base du tableau), car nous n'avons pas les données. </t>
  </si>
  <si>
    <t>Autoroutes non concédées</t>
  </si>
  <si>
    <t>Routes communales</t>
  </si>
  <si>
    <t xml:space="preserve">Méthode 1 </t>
  </si>
  <si>
    <t xml:space="preserve">Méthode 2 </t>
  </si>
  <si>
    <t xml:space="preserve">Nous décidons de passer par les espaces artificialisés </t>
  </si>
  <si>
    <t>Bilan annuel des transports en 2023 | Données et études statistiques</t>
  </si>
  <si>
    <t>Réseau secondaire (France entière)</t>
  </si>
  <si>
    <t>Routes départementales</t>
  </si>
  <si>
    <t>en kkm</t>
  </si>
  <si>
    <t>données arrêtées le 25/11/2025</t>
  </si>
  <si>
    <t>Réseau principal (France entière) (4)</t>
  </si>
  <si>
    <t>Autres routes nationales (4)</t>
  </si>
  <si>
    <t>Delta annuel</t>
  </si>
  <si>
    <t xml:space="preserve">Nous additionnons l'ensemble des km d'autoroutes concédées et non-concédées </t>
  </si>
  <si>
    <t xml:space="preserve">Evolutions autoroutes 2012-2023 </t>
  </si>
  <si>
    <t xml:space="preserve">Nous rapprochons les routes nationales et départementales pour compenser les transferts de compétences : nous supposons que les routes nationales ayant disparu sont devenues des routes locales </t>
  </si>
  <si>
    <t>Evolution routes départementales 2012-2023</t>
  </si>
  <si>
    <t xml:space="preserve">Evolutions routes nationales 2012-2023 </t>
  </si>
  <si>
    <t xml:space="preserve">Evolutions routes communales 2012-2023 </t>
  </si>
  <si>
    <t xml:space="preserve">Evolutions routes locales 2012-2023 </t>
  </si>
  <si>
    <t>kkm</t>
  </si>
  <si>
    <t xml:space="preserve">Les routes locales sont donc responsables de 99% de la construction de kilomètres linéaires sur la période 2012-2023. </t>
  </si>
  <si>
    <t xml:space="preserve">Nous essayons d'attribuer l'artificialisation aux routes </t>
  </si>
  <si>
    <t xml:space="preserve">Sur la période nous avons eu </t>
  </si>
  <si>
    <t xml:space="preserve">Artificialisation routes  2012-2023 </t>
  </si>
  <si>
    <t>ha</t>
  </si>
  <si>
    <t xml:space="preserve">Nous savons que pour l'analyse en espaces NAF : </t>
  </si>
  <si>
    <t xml:space="preserve">Dans ce cas, via la consommation des espaces NAF nous déduisons que le nombre kilomètres construits sur la période est de </t>
  </si>
  <si>
    <t xml:space="preserve">Largeur moyenne route </t>
  </si>
  <si>
    <t>m</t>
  </si>
  <si>
    <t xml:space="preserve">Kilomètres construits </t>
  </si>
  <si>
    <t xml:space="preserve">Cela diffère de notre estimation via le SDES. Mais nous savons que les routes varient et ne font pas 8m de large. </t>
  </si>
  <si>
    <t>Largeur moyenne d'une route départementale (m)</t>
  </si>
  <si>
    <t xml:space="preserve">Largeur moyenne d'une route communale </t>
  </si>
  <si>
    <t xml:space="preserve">A partir de cette analyse, nous estimons les largeurs de segments suivants </t>
  </si>
  <si>
    <t>²</t>
  </si>
  <si>
    <t xml:space="preserve">Nous appliquons ces largeurs et les % constatés via les évolutions SDES à l'artificialisation constatée sur la période 2012-2023 </t>
  </si>
  <si>
    <t>Kilomètres construits coeff</t>
  </si>
  <si>
    <t xml:space="preserve">Avec cette estimation nous nous rapprochons du nombre de kilomètres constatés par le SDES </t>
  </si>
  <si>
    <t>fiche_voirie_150501_cle0647fd.pdf</t>
  </si>
  <si>
    <t xml:space="preserve">Reprenons l'estimation NAF, dans laquelle toutes les routes ont la même buffer, donc un km d'autoroute est le même qu'un km de route </t>
  </si>
  <si>
    <t xml:space="preserve">Routes locales </t>
  </si>
  <si>
    <t xml:space="preserve">D'après notre estimation pour coller au linéaire de construction de routes du SDES il faut que : </t>
  </si>
  <si>
    <t xml:space="preserve">Moyenne largeur routes locales </t>
  </si>
  <si>
    <t xml:space="preserve">Kilomètres construits routes locales </t>
  </si>
  <si>
    <t xml:space="preserve">Nous essayons maintenant d'estimer le coût d'un kilomètre de route </t>
  </si>
  <si>
    <t>En dehors de l’achat du terrain, 40 % du budget sont consacrés { la chaussée, 30 % aux réseaux et aux aménagements paysagers, 25 % aux trottoirs et équipement complémentaire comme l’éclairage public, et 5 % à la signalisation</t>
  </si>
  <si>
    <t xml:space="preserve">Nous obtenons : </t>
  </si>
  <si>
    <t xml:space="preserve">Coût chaussée </t>
  </si>
  <si>
    <t>Coût réseaux et aménagements</t>
  </si>
  <si>
    <t xml:space="preserve">Coûts équipements complémentaires </t>
  </si>
  <si>
    <t>Coûts signalisation</t>
  </si>
  <si>
    <t xml:space="preserve">TOTAL coûts pour un kilomètre </t>
  </si>
  <si>
    <t>Largeur moyenne d'une autoroute 2x2</t>
  </si>
  <si>
    <t xml:space="preserve">Nous obtenons </t>
  </si>
  <si>
    <t xml:space="preserve">Coût d'un km de route </t>
  </si>
  <si>
    <t xml:space="preserve">Nous estimons donc les dépenses défavorables suivantes </t>
  </si>
  <si>
    <t xml:space="preserve">Dépenses défavorables  </t>
  </si>
  <si>
    <t>Series</t>
  </si>
  <si>
    <t>Observed</t>
  </si>
  <si>
    <t>Trend_fitted</t>
  </si>
  <si>
    <t>Projection_raw</t>
  </si>
  <si>
    <t>Projection_capped_500</t>
  </si>
  <si>
    <t>Parameter</t>
  </si>
  <si>
    <t>Value</t>
  </si>
  <si>
    <t>Slope</t>
  </si>
  <si>
    <t>Intercept</t>
  </si>
  <si>
    <t>R2</t>
  </si>
  <si>
    <t xml:space="preserve">Nous estimons 2024 en faisant une régression linéraire (AxvV2). </t>
  </si>
  <si>
    <t xml:space="preserve">Cette méthode a pour inconvénient de ne pas tenir compte des évolutions dans les modes de construction. </t>
  </si>
  <si>
    <t>DI - Année 2024</t>
  </si>
  <si>
    <t xml:space="preserve">Potentiel de financement </t>
  </si>
  <si>
    <t xml:space="preserve">SNBC - 2024 </t>
  </si>
  <si>
    <t>cumulé 2025-2030</t>
  </si>
  <si>
    <t>Moyenne annuelle 2025-2030</t>
  </si>
  <si>
    <t xml:space="preserve">Cumulé 2025-2030 </t>
  </si>
  <si>
    <t>Dépense 2024</t>
  </si>
  <si>
    <t>Delta24-30</t>
  </si>
  <si>
    <t>Brun (fioul + gaz)</t>
  </si>
  <si>
    <t>avec Elec</t>
  </si>
  <si>
    <t>Dépense 2030 - aux prix de 2024</t>
  </si>
  <si>
    <t xml:space="preserve">Obj2030 </t>
  </si>
  <si>
    <t>TOTAL dépenses brunes (€ constants 2024)</t>
  </si>
  <si>
    <t>2017-2024</t>
  </si>
  <si>
    <t>2023-2024</t>
  </si>
  <si>
    <t>TOTAL dépenses brunes (€ courants) - hors dépense énergétiques et aéro</t>
  </si>
  <si>
    <t>Systèmes énergétiques fossiles</t>
  </si>
  <si>
    <t>Systèmes énergétiques climat</t>
  </si>
  <si>
    <t>Total des investissements dans les systèmes énergétiques</t>
  </si>
  <si>
    <t>en M€ 2024</t>
  </si>
  <si>
    <t>2024-2030</t>
  </si>
  <si>
    <t>SNBC - 2024 - juste dépenses aménagement</t>
  </si>
  <si>
    <t xml:space="preserve">SNBC - 2024 - juste dépenses achats de biens </t>
  </si>
  <si>
    <t xml:space="preserve">SNBC 2024 - juste construction neuve </t>
  </si>
  <si>
    <t>2014-2024</t>
  </si>
  <si>
    <t>Dans le secteur  tertiaire, la réduction des consommations énergétiques passe principalement par le respect  des objectifs du dispositif éco énergie tertiaire, grâce à des actions de rénovation (isolation,  changements de vecteur énergétique), mais aussi de sobriété ou d’optimisation (entretien,  réglage, pilotage). Le mix énergétique du secteur se transforme en réduisant la part des  énergies fossiles au profit d'une électrification croissante.</t>
  </si>
  <si>
    <t>Action énergétique Baisser les consommations énergétiques des  bâtiments tertiaires en cohérence avec les objectifs du  dispositif éco énergie tertiaire.  Sortie des chaudières  fioul  Diminuer de 85 % des surfaces tertiaires chauffées au  fioul entre 2020 et 2030.  Remplacement  progressif des  chaudières à gaz  Diminuer de 17 % des surfaces tertiaires chauffées au  gaz entre 2020 et 2030 et de 85 % entre 2020 et 2050.</t>
  </si>
  <si>
    <t>Evolution de la taille du parc tertiaire : stabilité voire légère baisse de la taille du parc tertiaire autour de 1 000 millions de m2 sur toute la période 2020-2050, sous l’effet d’une baisse de la surface des bureaux (télétravail).</t>
  </si>
  <si>
    <t>Sortie des chaudières fioul : en 2030, l’usage du fioul dans les surfaces tertiaires devient très marginal (-85 % de surfaces chauffées au fioul entre 2020 et 2030). Environ 2 % des surfaces continuent d’être chauffées au fioul ou de l’utiliser pour des usages hors chauffage, dans des situations où la transition vers un système décarboné est techniquement ou économiquement très complexe.</t>
  </si>
  <si>
    <t>Remplacement progressif des chaudières à gaz : le scénario de référence prévoit le remplacement par un système de chauffage décarboné de 17 % des surfaces chauffées au gaz d’ici 2030, conduisant à environ 38 % du parc chauffé au gaz en 2030 versus 46 % en 2020. Les surfaces chauffées au gaz baissent de 85 % entre 2020 et 2050 et ne représentent plus que 7 % du parc en 2050.</t>
  </si>
  <si>
    <t>Ce dispositif doit permettre de réduire la consommation énergétique des sites assujettis de 40 % en 2030</t>
  </si>
  <si>
    <t>La part des autobus et autocars électriques augmente rapidement : 90 % des autobus neufs en 2030 sont électriques et 30 % des autocars neufs en 2030 sont électriques. A compter de 2035, 100 % des autobus neufs sont électriques, conformément à l’objectif européen. A horizon 2050, 85 % des autocars neufs sont électriques et 5 % fonctionnent à l’hydrogène.</t>
  </si>
  <si>
    <t>FIN_VEH_2025_Scénarios_205</t>
  </si>
  <si>
    <t>Prix unitaire</t>
  </si>
  <si>
    <t>Prix moyen - VP</t>
  </si>
  <si>
    <t>Autres, dont GNV</t>
  </si>
  <si>
    <t>Prix moyen - VUL</t>
  </si>
  <si>
    <t>FIN_VEH_2025_PRO_119</t>
  </si>
  <si>
    <t>Total  de véhicules</t>
  </si>
  <si>
    <t xml:space="preserve">Dont VP </t>
  </si>
  <si>
    <t xml:space="preserve">Dont VUL </t>
  </si>
  <si>
    <t>dont fioul</t>
  </si>
  <si>
    <t>dont gaz</t>
  </si>
  <si>
    <t>Chaudières fioul</t>
  </si>
  <si>
    <t>Chaudières gaz</t>
  </si>
  <si>
    <t>(k EUR 2024)</t>
  </si>
  <si>
    <t>Dépenses d'équipement LPFP constants 2024</t>
  </si>
  <si>
    <t xml:space="preserve">Dépenses liées aux achats de biens </t>
  </si>
  <si>
    <t xml:space="preserve">Dépenses d'aménagment du territoire </t>
  </si>
  <si>
    <t>Par catégorie</t>
  </si>
  <si>
    <t xml:space="preserve">Dépenses d'investissement défavorables </t>
  </si>
  <si>
    <t xml:space="preserve">TRAJECTOIRE SNBC ACTUALISEE </t>
  </si>
  <si>
    <t xml:space="preserve">Somme chaudières fossiles </t>
  </si>
  <si>
    <t xml:space="preserve">Trajectoire PANO </t>
  </si>
  <si>
    <t>SNBC 15/12/25</t>
  </si>
  <si>
    <t>Export synthèse DPRO</t>
  </si>
  <si>
    <t xml:space="preserve">Export synthèse DBPRO </t>
  </si>
  <si>
    <t>Dépenses d'acquisition de bus thermiques</t>
  </si>
  <si>
    <t>Dépenses d'acquisition de cars thermiques</t>
  </si>
  <si>
    <t xml:space="preserve">Total bus &amp; cars défavorables </t>
  </si>
  <si>
    <t>Exxport synthèse DBPRO</t>
  </si>
  <si>
    <t>D2014-2024</t>
  </si>
  <si>
    <t>EP2014-2024</t>
  </si>
  <si>
    <t>EV2014-2024</t>
  </si>
  <si>
    <t>EC2014-2024</t>
  </si>
  <si>
    <t>Prix du bois-énergie pour le secteur tertiaire HTVA</t>
  </si>
  <si>
    <t>€/MwH</t>
  </si>
  <si>
    <t>Intégratio d'une TVA de 10%</t>
  </si>
  <si>
    <t>MwH</t>
  </si>
  <si>
    <t>Evolution consommations bâtiments entre 2021 et 2024</t>
  </si>
  <si>
    <t>Evolutions entre 2030 et 2024</t>
  </si>
  <si>
    <t xml:space="preserve">Par rapport aux dépenses de 2024: </t>
  </si>
  <si>
    <t xml:space="preserve">Dépenses énergétiques défavorables </t>
  </si>
  <si>
    <t xml:space="preserve">Part des types énergétiques dans le brun </t>
  </si>
  <si>
    <t xml:space="preserve">Part du brun dans les dépenses énergétiques totales </t>
  </si>
  <si>
    <t>Part des types d'énergie dans le brun</t>
  </si>
  <si>
    <t xml:space="preserve">Part bâtiments et carburants dans total </t>
  </si>
  <si>
    <t>Part bâtiment s</t>
  </si>
  <si>
    <t xml:space="preserve">Part carburants </t>
  </si>
  <si>
    <t>Base 1 = 2014</t>
  </si>
  <si>
    <t>Cumulé bâtiments brun base 1 = 2024</t>
  </si>
  <si>
    <t>Base 1 = 2024</t>
  </si>
  <si>
    <t>Indice 1 = 2024 cumulé dépenses brunes</t>
  </si>
  <si>
    <t xml:space="preserve">Indice des prix énergies défavorables </t>
  </si>
  <si>
    <t>Source : I4CE d'après séries de prix SDES</t>
  </si>
  <si>
    <t>Cumulé carbuants brun base 1 = 2024</t>
  </si>
  <si>
    <t xml:space="preserve">Nous faisons l'hypothèse que les investissements suivent la baisse des surfaces chauffées. </t>
  </si>
  <si>
    <t>Vers la 3e Stratégie nationale bas-carbone (SNBC 3) | Ministères Aménagement du territoire Transition écologique</t>
  </si>
  <si>
    <t>Estimations de consommations dans axENER</t>
  </si>
  <si>
    <t xml:space="preserve">axENER </t>
  </si>
  <si>
    <t>Economies 2014-2024</t>
  </si>
  <si>
    <t xml:space="preserve">Pour les véhicules thermiques </t>
  </si>
  <si>
    <t xml:space="preserve">Aujourd'hui on immatricule 1,6M / an. Le 1,8M était calculé par rapport à 2019 où on immatriculait 2M / an </t>
  </si>
  <si>
    <t>Total dépenses niveau de conso de 2014</t>
  </si>
  <si>
    <t>Vérifier ce que dit la SNBC sur le MR_FER</t>
  </si>
  <si>
    <t xml:space="preserve">onglet TER NEUF, ligne 118 </t>
  </si>
  <si>
    <t xml:space="preserve">Dif 2024-2030 </t>
  </si>
  <si>
    <t>Nous utilisons une trajectoire de construction neuve fondée sur le scénario AMS2 de la SNBC3</t>
  </si>
  <si>
    <t>. Le scénario AMS2 fournit une projection des surfaces de bâtiments tertiaires construits, exprimées en mètres carrés.</t>
  </si>
  <si>
    <t xml:space="preserve">À partir des niveaux de construction observés en 2022, nous faisons l’hypothèse que 20 % de ces surfaces correspondent à des bâtiments tertiaires portés par les collectivités. </t>
  </si>
  <si>
    <t>À ces surfaces sont ensuite appliqués des coûts unitaires de construction afin d’estimer les dépenses associées.</t>
  </si>
  <si>
    <t xml:space="preserve">Pour l'artificialisation : </t>
  </si>
  <si>
    <t>SNBC 15/12/2025</t>
  </si>
  <si>
    <t>Evolution 2011-2024</t>
  </si>
  <si>
    <t>Evolution  2017-2024</t>
  </si>
  <si>
    <t xml:space="preserve">Il n'est pas possible de se rattacher à la série du Panorama : le raccord avec l'historique ne marche pas et le Panorama n'inclut pas les cars </t>
  </si>
  <si>
    <t xml:space="preserve">Nou sutilisons donc un méthode plus brute : </t>
  </si>
  <si>
    <t xml:space="preserve">Etirement de la série historique au point SNBC en 2035 </t>
  </si>
  <si>
    <t>Nous rapportons les évoutions de construction annuelle de voirie aux investissements constatés en 2024 et étirons sur 2025-2035</t>
  </si>
  <si>
    <t>Croisement de deux hypothèses : hypothèses d'immatriculations de la SNBC (1,8M VP/an), attribuée aux CT à partir de la répartition historique des immatriculations entre acteurs.</t>
  </si>
  <si>
    <t>On regarde ce que la LOM impose comme électriques et hybrides rechargeables.</t>
  </si>
  <si>
    <t xml:space="preserve">Prix moyen donné par l'Argus pour l'année 2022, avec une estimation issue du Panorama des financements climat pour obtenir des euros 2024. </t>
  </si>
  <si>
    <t xml:space="preserve">Trajectoire prospective dépenses brunes </t>
  </si>
  <si>
    <t xml:space="preserve">TOTAL dépenses d'investissement (€ constants 2024) </t>
  </si>
  <si>
    <t xml:space="preserve">Dépenses d'investissement </t>
  </si>
  <si>
    <t>Dépenses brunes en euros constants 2024</t>
  </si>
  <si>
    <t xml:space="preserve">Dépenses d'investissements verts </t>
  </si>
  <si>
    <t xml:space="preserve">Source : Où en sont les investissements verts de collectivités, I4CE 2025 </t>
  </si>
  <si>
    <t>L'étude et l'ensemble de ses annexes sont téléchargeables sur le site d'I4CE :</t>
  </si>
  <si>
    <t xml:space="preserve">LIEN VERS LA METHODOLOGIE ECB (I4CE, 2022) </t>
  </si>
  <si>
    <t xml:space="preserve">L'identification des dépenses défavorables se base sur la méthodologie EBC, co-construite par I4CE en partenariat avec des collectivités en 2022 </t>
  </si>
  <si>
    <t>LIEN VERS L'EDITION 2025 DU PANORAMA DES FINANCEMENTS CLIMAT</t>
  </si>
  <si>
    <t>De nombreuses données et étapes de calculs utilisées dans cet excel sont issues des travaux réalisés dans le cadre de l'édition 2025 du Panorama des financements climat.</t>
  </si>
  <si>
    <t xml:space="preserve"> - les tableaux de résultats.</t>
  </si>
  <si>
    <t xml:space="preserve"> - les sources utilisées (indiquées en dessous des tableaux de calculs ou à la fin des onglets) ;</t>
  </si>
  <si>
    <t xml:space="preserve"> - les étapes de calcul et les hypothèses utilisées pour arriver à la reconstruction de l'historique ;</t>
  </si>
  <si>
    <t xml:space="preserve"> - le périmètre exact des investissements couverts dans le secteur ; </t>
  </si>
  <si>
    <t>Chaque onglet sectoriel comporte :</t>
  </si>
  <si>
    <t>MAT_INFO</t>
  </si>
  <si>
    <t>axENER</t>
  </si>
  <si>
    <t>DEP_ENER</t>
  </si>
  <si>
    <t>CT RENO</t>
  </si>
  <si>
    <t xml:space="preserve">LES FICHES SECTORIELLES </t>
  </si>
  <si>
    <t xml:space="preserve">Il est composé d'une fiche de synthèse ainsi que de fiches présentant la méthodologie employée pour la quantification des dépenses défavorables au climat des collectivités locales </t>
  </si>
  <si>
    <t>Ce tableur constitue le support présentant la méthodologie et les sources utilisées pour construire les chiffres présentés dans l'étude :</t>
  </si>
  <si>
    <t>GUIDE DE LECTURE DU DOCUMENT</t>
  </si>
  <si>
    <t xml:space="preserve">Date de dernière mise à jour : </t>
  </si>
  <si>
    <t xml:space="preserve">N'hésitez pas à nous contacter ! </t>
  </si>
  <si>
    <t>Contacts I4CE : aurore.colin@i4ce.org ; axel.erba@i4ce.org ; francois.thomazeau@i4ce.org</t>
  </si>
  <si>
    <t>ANNEXE EXCEL - Revue des dépenses défavorables au climat des collectivités locales, I4CE, La Banque Postale, 2025</t>
  </si>
  <si>
    <t xml:space="preserve">Cette fiche permet d'obtenir rapidement les chiffres historiques  (euros constants et courants) ainsi que différents recoupements. </t>
  </si>
  <si>
    <t>Cette fiche permet d'obtenir rapidement les séries prospectives</t>
  </si>
  <si>
    <t>SYNTHESEDFHIST</t>
  </si>
  <si>
    <t>DFHIST+DFPRO</t>
  </si>
  <si>
    <t xml:space="preserve">Historique et prospective des investissements défavorables au climat des collectivités dans la rénovation énergétique des bâtiments publics </t>
  </si>
  <si>
    <t xml:space="preserve">Historique et prospective des achats de combustibles et carburants fossiles des collectivités </t>
  </si>
  <si>
    <t>axENER2</t>
  </si>
  <si>
    <t xml:space="preserve">Construction d'un indice de prix agrégé "dépenses énergétiques défavorables au climat des collectivités locales" </t>
  </si>
  <si>
    <t xml:space="preserve">Historique et prospective des investissements défavorables au climat liés à la construction de bâtiments tertiaires neufs </t>
  </si>
  <si>
    <t>Historique et prospective des investissements défavorables au climat liés à l'achat de véhicules particuliers thermiques</t>
  </si>
  <si>
    <t>Historique et prospective des investissements défavorables au climat liés à l'achat de véhicules utilitaires légers thermiques</t>
  </si>
  <si>
    <t>Historique et prospective des investissements défavorables au climat liés à l'achat de bus et de cars thermiques</t>
  </si>
  <si>
    <t>Historique et prospective des investissements défavorables au climat liés à l'achat de matériel roulan ferroviaire diesel</t>
  </si>
  <si>
    <t xml:space="preserve">Historique et prospective des investissements défavorables au climat liés à la construction de nouvelles routes </t>
  </si>
  <si>
    <t>Historique et prospective des dépenses défavorables au climat liés aux achats alimentaires</t>
  </si>
  <si>
    <t>Historique et prospective des dépenses défavorables au climat liés aux achats de matériel informatique</t>
  </si>
  <si>
    <t xml:space="preserve"> - les étapes de calcul et les hypothèses utilisées pour arriver à la construction de séries prospectives ;</t>
  </si>
  <si>
    <t>ROUTES(V2)</t>
  </si>
  <si>
    <t>Evolution des prix de l'énergie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</si>
</sst>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0.0"/>
    <numFmt numFmtId="165" formatCode="#,##0.0"/>
    <numFmt numFmtId="166" formatCode="0.0%"/>
    <numFmt numFmtId="167" formatCode="_-* #,##0_-;\-* #,##0_-;_-* &quot;-&quot;??_-;_-@_-"/>
    <numFmt numFmtId="168" formatCode="_-* #,##0.0\ _€_-;\-* #,##0.0\ _€_-;_-* &quot;-&quot;?\ _€_-;_-@_-"/>
    <numFmt numFmtId="169" formatCode="0.0000"/>
    <numFmt numFmtId="170" formatCode="_-* #,##0.00\ _€_-;\-* #,##0.00\ _€_-;_-* &quot;-&quot;??\ _€_-;_-@_-"/>
    <numFmt numFmtId="171" formatCode="##0.00E+0"/>
    <numFmt numFmtId="172" formatCode="0.00000000%"/>
    <numFmt numFmtId="173" formatCode="000.0\ &quot;(A)&quot;"/>
    <numFmt numFmtId="174" formatCode="00.0\ &quot;(A)&quot;"/>
    <numFmt numFmtId="175" formatCode="000.00\ &quot;(A)&quot;"/>
    <numFmt numFmtId="176" formatCode="000.000\ &quot;(A)&quot;"/>
    <numFmt numFmtId="177" formatCode="[$€-2]\ #,##0;[Red]\-[$€-2]\ #,##0"/>
    <numFmt numFmtId="178" formatCode="0.000%"/>
    <numFmt numFmtId="179" formatCode="##0.000E+0"/>
  </numFmts>
  <fonts count="111">
    <font>
      <sz val="11"/>
      <color theme="1"/>
      <name val="Aptos Narrow"/>
      <family val="2"/>
      <scheme val="minor"/>
    </font>
    <font>
      <sz val="11"/>
      <color theme="1"/>
      <name val="Aptos Narrow"/>
      <family val="2"/>
      <scheme val="minor"/>
    </font>
    <font>
      <b/>
      <sz val="11"/>
      <color theme="1"/>
      <name val="Aptos Narrow"/>
      <family val="2"/>
      <scheme val="minor"/>
    </font>
    <font>
      <b/>
      <sz val="16"/>
      <color theme="1"/>
      <name val="Aptos Narrow"/>
      <family val="2"/>
      <scheme val="minor"/>
    </font>
    <font>
      <sz val="11"/>
      <color theme="3"/>
      <name val="Aptos Narrow"/>
      <family val="2"/>
      <scheme val="minor"/>
    </font>
    <font>
      <b/>
      <sz val="11"/>
      <color rgb="FF002060"/>
      <name val="Aptos Narrow"/>
      <family val="2"/>
      <scheme val="minor"/>
    </font>
    <font>
      <b/>
      <sz val="16"/>
      <color rgb="FF002060"/>
      <name val="Aptos Narrow"/>
      <family val="2"/>
      <scheme val="minor"/>
    </font>
    <font>
      <sz val="11"/>
      <color theme="1"/>
      <name val="Arial"/>
      <family val="2"/>
    </font>
    <font>
      <b/>
      <sz val="11"/>
      <name val="Aptos Narrow"/>
      <family val="2"/>
      <scheme val="minor"/>
    </font>
    <font>
      <i/>
      <sz val="11"/>
      <color theme="1"/>
      <name val="Arial"/>
      <family val="2"/>
    </font>
    <font>
      <sz val="14"/>
      <color rgb="FF000000"/>
      <name val="Times New Roman"/>
      <family val="1"/>
    </font>
    <font>
      <b/>
      <sz val="14"/>
      <color rgb="FF404041"/>
      <name val="Arial"/>
      <family val="2"/>
    </font>
    <font>
      <sz val="11"/>
      <color rgb="FF404041"/>
      <name val="Arial"/>
      <family val="2"/>
    </font>
    <font>
      <b/>
      <sz val="11"/>
      <color rgb="FF404041"/>
      <name val="Arial"/>
      <family val="2"/>
    </font>
    <font>
      <b/>
      <sz val="11"/>
      <color theme="1"/>
      <name val="Arial"/>
      <family val="2"/>
    </font>
    <font>
      <b/>
      <sz val="11"/>
      <color rgb="FFFF0000"/>
      <name val="Aptos Narrow"/>
      <family val="2"/>
      <scheme val="minor"/>
    </font>
    <font>
      <i/>
      <sz val="11"/>
      <color theme="1"/>
      <name val="Aptos Narrow"/>
      <family val="2"/>
      <scheme val="minor"/>
    </font>
    <font>
      <sz val="11"/>
      <name val="Aptos Narrow"/>
      <family val="2"/>
      <scheme val="minor"/>
    </font>
    <font>
      <sz val="11"/>
      <color theme="9"/>
      <name val="Aptos Narrow"/>
      <family val="2"/>
      <scheme val="minor"/>
    </font>
    <font>
      <u/>
      <sz val="11"/>
      <color theme="10"/>
      <name val="Aptos Narrow"/>
      <family val="2"/>
      <scheme val="minor"/>
    </font>
    <font>
      <sz val="10"/>
      <color theme="1"/>
      <name val="Calibri"/>
      <family val="2"/>
    </font>
    <font>
      <sz val="10"/>
      <color rgb="FF000000"/>
      <name val="Calibri"/>
      <family val="2"/>
    </font>
    <font>
      <sz val="10"/>
      <color theme="0"/>
      <name val="Calibri"/>
      <family val="2"/>
    </font>
    <font>
      <b/>
      <sz val="10"/>
      <color theme="1"/>
      <name val="Calibri"/>
      <family val="2"/>
    </font>
    <font>
      <sz val="10"/>
      <color rgb="FFFF0000"/>
      <name val="Calibri"/>
      <family val="2"/>
    </font>
    <font>
      <i/>
      <sz val="10"/>
      <color theme="1"/>
      <name val="Calibri"/>
      <family val="2"/>
    </font>
    <font>
      <sz val="10"/>
      <color theme="1"/>
      <name val="Aptos Narrow"/>
      <family val="2"/>
      <scheme val="minor"/>
    </font>
    <font>
      <sz val="10"/>
      <name val="Calibri"/>
      <family val="2"/>
    </font>
    <font>
      <i/>
      <sz val="11"/>
      <name val="Aptos Narrow"/>
      <family val="2"/>
      <scheme val="minor"/>
    </font>
    <font>
      <sz val="11"/>
      <color theme="8" tint="-0.499984740745262"/>
      <name val="Aptos Narrow"/>
      <family val="2"/>
      <scheme val="minor"/>
    </font>
    <font>
      <b/>
      <u/>
      <sz val="11"/>
      <color theme="1"/>
      <name val="Aptos Narrow"/>
      <family val="2"/>
      <scheme val="minor"/>
    </font>
    <font>
      <u/>
      <sz val="11"/>
      <color theme="1"/>
      <name val="Aptos Narrow"/>
      <family val="2"/>
      <scheme val="minor"/>
    </font>
    <font>
      <sz val="11"/>
      <color rgb="FF333333"/>
      <name val="Arial"/>
      <family val="2"/>
    </font>
    <font>
      <b/>
      <sz val="11"/>
      <color theme="4"/>
      <name val="Aptos Narrow"/>
      <family val="2"/>
      <scheme val="minor"/>
    </font>
    <font>
      <sz val="11"/>
      <name val="Arial"/>
      <family val="2"/>
    </font>
    <font>
      <sz val="11"/>
      <color rgb="FF000000"/>
      <name val="Arial"/>
      <family val="2"/>
    </font>
    <font>
      <b/>
      <sz val="10"/>
      <color theme="0"/>
      <name val="Verdana"/>
      <family val="2"/>
    </font>
    <font>
      <b/>
      <sz val="10"/>
      <color theme="1"/>
      <name val="Verdana"/>
      <family val="2"/>
    </font>
    <font>
      <b/>
      <sz val="10"/>
      <name val="Verdana"/>
      <family val="2"/>
    </font>
    <font>
      <sz val="10"/>
      <name val="Verdana"/>
      <family val="2"/>
    </font>
    <font>
      <sz val="10"/>
      <color theme="1"/>
      <name val="Verdana"/>
      <family val="2"/>
    </font>
    <font>
      <i/>
      <sz val="10"/>
      <color theme="1"/>
      <name val="Verdana"/>
      <family val="2"/>
    </font>
    <font>
      <b/>
      <sz val="10"/>
      <color rgb="FFFFFFFF"/>
      <name val="Verdana"/>
      <family val="2"/>
    </font>
    <font>
      <sz val="11"/>
      <color rgb="FFFF0000"/>
      <name val="Aptos Narrow"/>
      <family val="2"/>
      <scheme val="minor"/>
    </font>
    <font>
      <sz val="11"/>
      <name val="Calibri"/>
      <family val="2"/>
    </font>
    <font>
      <sz val="10"/>
      <name val="Arial"/>
      <family val="2"/>
    </font>
    <font>
      <sz val="11"/>
      <color theme="3" tint="0.499984740745262"/>
      <name val="Aptos Narrow"/>
      <family val="2"/>
      <scheme val="minor"/>
    </font>
    <font>
      <sz val="10"/>
      <color theme="3" tint="0.499984740745262"/>
      <name val="Verdana"/>
      <family val="2"/>
    </font>
    <font>
      <sz val="12"/>
      <color theme="1"/>
      <name val="Aptos Narrow"/>
      <family val="2"/>
      <scheme val="minor"/>
    </font>
    <font>
      <sz val="11"/>
      <color rgb="FF000000"/>
      <name val="Calibri"/>
      <family val="2"/>
    </font>
    <font>
      <b/>
      <sz val="9"/>
      <name val="Arial"/>
      <family val="2"/>
    </font>
    <font>
      <sz val="10"/>
      <color rgb="FF000000"/>
      <name val="Arial"/>
      <family val="2"/>
    </font>
    <font>
      <b/>
      <sz val="11"/>
      <color theme="1"/>
      <name val="Aptos"/>
      <family val="2"/>
    </font>
    <font>
      <sz val="11"/>
      <color theme="1"/>
      <name val="Aptos"/>
      <family val="2"/>
    </font>
    <font>
      <i/>
      <sz val="10"/>
      <name val="Verdana"/>
      <family val="2"/>
    </font>
    <font>
      <u/>
      <sz val="11"/>
      <color theme="1"/>
      <name val="Aptos"/>
      <family val="2"/>
    </font>
    <font>
      <sz val="11"/>
      <color theme="0"/>
      <name val="Aptos Narrow"/>
      <family val="2"/>
      <scheme val="minor"/>
    </font>
    <font>
      <b/>
      <sz val="14"/>
      <color theme="1"/>
      <name val="Aptos Narrow"/>
      <family val="2"/>
      <scheme val="minor"/>
    </font>
    <font>
      <b/>
      <sz val="14"/>
      <color theme="0"/>
      <name val="Aptos Narrow"/>
      <family val="2"/>
      <scheme val="minor"/>
    </font>
    <font>
      <b/>
      <i/>
      <sz val="11"/>
      <color theme="1"/>
      <name val="Aptos Narrow"/>
      <family val="2"/>
      <scheme val="minor"/>
    </font>
    <font>
      <b/>
      <i/>
      <sz val="11"/>
      <color rgb="FF002060"/>
      <name val="Aptos Narrow"/>
      <family val="2"/>
      <scheme val="minor"/>
    </font>
    <font>
      <b/>
      <sz val="11"/>
      <color rgb="FF002060"/>
      <name val="Arial"/>
      <family val="2"/>
    </font>
    <font>
      <u/>
      <sz val="11"/>
      <color theme="10"/>
      <name val="Arial"/>
      <family val="2"/>
    </font>
    <font>
      <b/>
      <sz val="11"/>
      <name val="Arial"/>
      <family val="2"/>
    </font>
    <font>
      <sz val="8"/>
      <name val="Times New Roman"/>
      <family val="1"/>
    </font>
    <font>
      <sz val="11"/>
      <color theme="8"/>
      <name val="Aptos Narrow"/>
      <family val="2"/>
      <scheme val="minor"/>
    </font>
    <font>
      <u/>
      <sz val="11"/>
      <name val="Aptos Narrow"/>
      <family val="2"/>
      <scheme val="minor"/>
    </font>
    <font>
      <b/>
      <sz val="10"/>
      <name val="Arial"/>
      <family val="2"/>
      <charset val="1"/>
    </font>
    <font>
      <b/>
      <sz val="11"/>
      <name val="Verdana"/>
      <family val="2"/>
    </font>
    <font>
      <b/>
      <sz val="11"/>
      <color theme="0"/>
      <name val="Verdana"/>
      <family val="2"/>
    </font>
    <font>
      <b/>
      <sz val="11"/>
      <color theme="1"/>
      <name val="Verdana"/>
      <family val="2"/>
    </font>
    <font>
      <sz val="11"/>
      <name val="Verdana"/>
      <family val="2"/>
    </font>
    <font>
      <sz val="11"/>
      <color theme="1"/>
      <name val="Verdana"/>
      <family val="2"/>
    </font>
    <font>
      <i/>
      <sz val="11"/>
      <name val="Verdana"/>
      <family val="2"/>
    </font>
    <font>
      <i/>
      <sz val="11"/>
      <color theme="1"/>
      <name val="Verdana"/>
      <family val="2"/>
    </font>
    <font>
      <b/>
      <sz val="10"/>
      <color rgb="FF000000"/>
      <name val="Arial"/>
      <family val="2"/>
    </font>
    <font>
      <sz val="11"/>
      <color rgb="FF444444"/>
      <name val="Open Sans"/>
      <family val="2"/>
    </font>
    <font>
      <sz val="8"/>
      <color theme="1"/>
      <name val="Aptos Narrow"/>
      <family val="2"/>
      <scheme val="minor"/>
    </font>
    <font>
      <b/>
      <sz val="8"/>
      <color theme="1"/>
      <name val="Aptos Narrow"/>
      <family val="2"/>
      <scheme val="minor"/>
    </font>
    <font>
      <b/>
      <sz val="8"/>
      <color rgb="FF000000"/>
      <name val="Calibri"/>
      <family val="2"/>
    </font>
    <font>
      <i/>
      <sz val="9"/>
      <color theme="1"/>
      <name val="Marianne"/>
      <family val="3"/>
    </font>
    <font>
      <sz val="10"/>
      <color rgb="FF212529"/>
      <name val="Segoe UI"/>
      <family val="2"/>
    </font>
    <font>
      <b/>
      <sz val="11"/>
      <name val="Calibri"/>
      <family val="2"/>
    </font>
    <font>
      <sz val="10"/>
      <color rgb="FF000000"/>
      <name val="Arial"/>
      <family val="2"/>
    </font>
    <font>
      <b/>
      <u/>
      <sz val="11"/>
      <color theme="1"/>
      <name val="Aptos"/>
      <family val="2"/>
    </font>
    <font>
      <b/>
      <sz val="18"/>
      <color rgb="FFFF0000"/>
      <name val="Marianne"/>
      <family val="3"/>
    </font>
    <font>
      <b/>
      <sz val="18"/>
      <color theme="9" tint="-0.499984740745262"/>
      <name val="Marianne"/>
      <family val="3"/>
    </font>
    <font>
      <b/>
      <sz val="11"/>
      <color rgb="FFFF0000"/>
      <name val="Arial"/>
      <family val="2"/>
    </font>
    <font>
      <b/>
      <sz val="9"/>
      <name val="Open Sans"/>
      <family val="2"/>
    </font>
    <font>
      <sz val="9"/>
      <name val="Open Sans"/>
      <family val="2"/>
    </font>
    <font>
      <b/>
      <sz val="11"/>
      <color rgb="FF000000"/>
      <name val="Arial"/>
      <family val="2"/>
    </font>
    <font>
      <b/>
      <sz val="11"/>
      <color rgb="FF000000"/>
      <name val="Arial1"/>
      <family val="2"/>
      <charset val="1"/>
    </font>
    <font>
      <sz val="11"/>
      <color rgb="FF000000"/>
      <name val="Arial1"/>
      <family val="2"/>
      <charset val="1"/>
    </font>
    <font>
      <sz val="10"/>
      <name val="Arial"/>
      <family val="2"/>
      <charset val="1"/>
    </font>
    <font>
      <i/>
      <sz val="11"/>
      <color rgb="FF000000"/>
      <name val="Arial1"/>
    </font>
    <font>
      <b/>
      <sz val="10"/>
      <color rgb="FF000000"/>
      <name val="Calibri"/>
      <family val="2"/>
    </font>
    <font>
      <sz val="12"/>
      <color rgb="FF242424"/>
      <name val="Aptos"/>
      <family val="2"/>
    </font>
    <font>
      <b/>
      <u/>
      <sz val="8"/>
      <color rgb="FF000000"/>
      <name val="Calibri"/>
      <family val="2"/>
    </font>
    <font>
      <b/>
      <sz val="9"/>
      <color theme="1"/>
      <name val="Aptos Narrow"/>
      <family val="2"/>
    </font>
    <font>
      <sz val="11"/>
      <color theme="1"/>
      <name val="Aptos Narrow"/>
      <family val="2"/>
    </font>
    <font>
      <b/>
      <sz val="12"/>
      <color theme="1"/>
      <name val="Aptos Narrow"/>
      <family val="2"/>
      <scheme val="minor"/>
    </font>
    <font>
      <b/>
      <sz val="12"/>
      <name val="Arial"/>
      <family val="2"/>
    </font>
    <font>
      <b/>
      <sz val="12"/>
      <color theme="1"/>
      <name val="Aptos Narrow"/>
      <family val="2"/>
    </font>
    <font>
      <sz val="12"/>
      <color theme="1"/>
      <name val="Aptos"/>
      <family val="2"/>
    </font>
    <font>
      <sz val="11"/>
      <color theme="4"/>
      <name val="Aptos Narrow"/>
      <family val="2"/>
      <scheme val="minor"/>
    </font>
    <font>
      <u/>
      <sz val="11"/>
      <color theme="0"/>
      <name val="Aptos Narrow"/>
      <family val="2"/>
      <scheme val="minor"/>
    </font>
    <font>
      <i/>
      <u/>
      <sz val="11"/>
      <color theme="1"/>
      <name val="Aptos Narrow"/>
      <family val="2"/>
      <scheme val="minor"/>
    </font>
    <font>
      <b/>
      <u/>
      <sz val="11"/>
      <color theme="9"/>
      <name val="Aptos Narrow"/>
      <family val="2"/>
      <scheme val="minor"/>
    </font>
    <font>
      <b/>
      <sz val="20"/>
      <color theme="0"/>
      <name val="Aptos Narrow"/>
      <family val="2"/>
      <scheme val="minor"/>
    </font>
    <font>
      <i/>
      <sz val="11"/>
      <color theme="4"/>
      <name val="Aptos Narrow"/>
      <family val="2"/>
      <scheme val="minor"/>
    </font>
    <font>
      <b/>
      <u/>
      <sz val="16"/>
      <color theme="1"/>
      <name val="Aptos Narrow"/>
      <family val="2"/>
      <scheme val="minor"/>
    </font>
  </fonts>
  <fills count="42">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FFFF"/>
        <bgColor indexed="64"/>
      </patternFill>
    </fill>
    <fill>
      <patternFill patternType="solid">
        <fgColor rgb="FFB3C1E1"/>
        <bgColor indexed="64"/>
      </patternFill>
    </fill>
    <fill>
      <patternFill patternType="solid">
        <fgColor rgb="FFF3D7AE"/>
        <bgColor indexed="64"/>
      </patternFill>
    </fill>
    <fill>
      <patternFill patternType="solid">
        <fgColor rgb="FFFFFF00"/>
        <bgColor indexed="64"/>
      </patternFill>
    </fill>
    <fill>
      <patternFill patternType="solid">
        <fgColor theme="0"/>
        <bgColor indexed="64"/>
      </patternFill>
    </fill>
    <fill>
      <patternFill patternType="solid">
        <fgColor theme="0"/>
        <bgColor rgb="FFFFFF00"/>
      </patternFill>
    </fill>
    <fill>
      <patternFill patternType="solid">
        <fgColor theme="7" tint="0.39997558519241921"/>
        <bgColor indexed="64"/>
      </patternFill>
    </fill>
    <fill>
      <patternFill patternType="solid">
        <fgColor theme="0"/>
        <bgColor theme="0"/>
      </patternFill>
    </fill>
    <fill>
      <patternFill patternType="solid">
        <fgColor theme="3" tint="0.74999237037263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BFDAFB"/>
        <bgColor indexed="64"/>
      </patternFill>
    </fill>
    <fill>
      <patternFill patternType="solid">
        <fgColor theme="5" tint="0.79998168889431442"/>
        <bgColor indexed="64"/>
      </patternFill>
    </fill>
    <fill>
      <patternFill patternType="solid">
        <fgColor theme="5"/>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bgColor indexed="64"/>
      </patternFill>
    </fill>
    <fill>
      <patternFill patternType="solid">
        <fgColor theme="0" tint="-0.34998626667073579"/>
        <bgColor indexed="64"/>
      </patternFill>
    </fill>
    <fill>
      <patternFill patternType="solid">
        <fgColor theme="3" tint="0.89999084444715716"/>
        <bgColor indexed="64"/>
      </patternFill>
    </fill>
    <fill>
      <patternFill patternType="solid">
        <fgColor theme="5" tint="-0.249977111117893"/>
        <bgColor indexed="64"/>
      </patternFill>
    </fill>
    <fill>
      <patternFill patternType="solid">
        <fgColor theme="6" tint="0.79998168889431442"/>
        <bgColor indexed="64"/>
      </patternFill>
    </fill>
    <fill>
      <patternFill patternType="solid">
        <fgColor rgb="FFFFFFFF"/>
        <bgColor rgb="FF000000"/>
      </patternFill>
    </fill>
    <fill>
      <patternFill patternType="solid">
        <fgColor theme="0"/>
        <bgColor rgb="FF000000"/>
      </patternFill>
    </fill>
    <fill>
      <patternFill patternType="solid">
        <fgColor theme="9" tint="0.39997558519241921"/>
        <bgColor indexed="64"/>
      </patternFill>
    </fill>
    <fill>
      <patternFill patternType="solid">
        <fgColor theme="4" tint="0.59999389629810485"/>
        <bgColor indexed="64"/>
      </patternFill>
    </fill>
    <fill>
      <patternFill patternType="solid">
        <fgColor theme="9" tint="-0.499984740745262"/>
        <bgColor indexed="64"/>
      </patternFill>
    </fill>
    <fill>
      <patternFill patternType="solid">
        <fgColor rgb="FFC00000"/>
        <bgColor indexed="64"/>
      </patternFill>
    </fill>
    <fill>
      <patternFill patternType="solid">
        <fgColor theme="2" tint="-0.249977111117893"/>
        <bgColor indexed="64"/>
      </patternFill>
    </fill>
    <fill>
      <patternFill patternType="solid">
        <fgColor rgb="FFBEBEBE"/>
        <bgColor rgb="FF000000"/>
      </patternFill>
    </fill>
    <fill>
      <patternFill patternType="solid">
        <fgColor rgb="FFFFFFFF"/>
        <bgColor rgb="FFFFFFCC"/>
      </patternFill>
    </fill>
    <fill>
      <patternFill patternType="solid">
        <fgColor theme="0"/>
        <bgColor rgb="FFFFFFCC"/>
      </patternFill>
    </fill>
    <fill>
      <patternFill patternType="solid">
        <fgColor theme="2"/>
        <bgColor rgb="FFFFFFCC"/>
      </patternFill>
    </fill>
    <fill>
      <patternFill patternType="solid">
        <fgColor theme="2"/>
        <bgColor rgb="FF000000"/>
      </patternFill>
    </fill>
  </fills>
  <borders count="9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auto="1"/>
      </bottom>
      <diagonal/>
    </border>
    <border>
      <left style="thin">
        <color auto="1"/>
      </left>
      <right style="thin">
        <color auto="1"/>
      </right>
      <top/>
      <bottom/>
      <diagonal/>
    </border>
    <border>
      <left/>
      <right/>
      <top/>
      <bottom style="medium">
        <color rgb="FF404041"/>
      </bottom>
      <diagonal/>
    </border>
    <border>
      <left/>
      <right style="thick">
        <color rgb="FFFFFFFF"/>
      </right>
      <top/>
      <bottom style="medium">
        <color rgb="FF404041"/>
      </bottom>
      <diagonal/>
    </border>
    <border>
      <left/>
      <right style="thick">
        <color rgb="FFFFFFFF"/>
      </right>
      <top/>
      <bottom/>
      <diagonal/>
    </border>
    <border>
      <left style="thick">
        <color rgb="FFFFFFFF"/>
      </left>
      <right/>
      <top/>
      <bottom style="medium">
        <color rgb="FF404041"/>
      </bottom>
      <diagonal/>
    </border>
    <border>
      <left style="thick">
        <color rgb="FFFFFFFF"/>
      </left>
      <right/>
      <top/>
      <bottom/>
      <diagonal/>
    </border>
    <border>
      <left/>
      <right/>
      <top style="medium">
        <color rgb="FF404041"/>
      </top>
      <bottom/>
      <diagonal/>
    </border>
    <border>
      <left/>
      <right style="thick">
        <color rgb="FFFFFFFF"/>
      </right>
      <top style="medium">
        <color rgb="FF404041"/>
      </top>
      <bottom/>
      <diagonal/>
    </border>
    <border>
      <left style="thick">
        <color rgb="FFFFFFFF"/>
      </left>
      <right/>
      <top style="medium">
        <color rgb="FF404041"/>
      </top>
      <bottom/>
      <diagonal/>
    </border>
    <border>
      <left/>
      <right/>
      <top style="thin">
        <color rgb="FF000000"/>
      </top>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style="dotted">
        <color indexed="64"/>
      </right>
      <top style="dotted">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right style="dotted">
        <color indexed="64"/>
      </right>
      <top/>
      <bottom/>
      <diagonal/>
    </border>
    <border>
      <left/>
      <right style="dotted">
        <color indexed="64"/>
      </right>
      <top style="dotted">
        <color indexed="64"/>
      </top>
      <bottom/>
      <diagonal/>
    </border>
    <border>
      <left/>
      <right/>
      <top style="dotted">
        <color indexed="64"/>
      </top>
      <bottom/>
      <diagonal/>
    </border>
    <border>
      <left/>
      <right/>
      <top style="dotted">
        <color indexed="64"/>
      </top>
      <bottom style="dotted">
        <color indexed="64"/>
      </bottom>
      <diagonal/>
    </border>
    <border>
      <left/>
      <right/>
      <top/>
      <bottom style="dotted">
        <color indexed="64"/>
      </bottom>
      <diagonal/>
    </border>
    <border>
      <left style="medium">
        <color indexed="64"/>
      </left>
      <right/>
      <top style="medium">
        <color indexed="64"/>
      </top>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diagonal/>
    </border>
    <border>
      <left style="dotted">
        <color indexed="64"/>
      </left>
      <right style="medium">
        <color indexed="64"/>
      </right>
      <top/>
      <bottom/>
      <diagonal/>
    </border>
    <border>
      <left style="medium">
        <color indexed="64"/>
      </left>
      <right/>
      <top style="dotted">
        <color indexed="64"/>
      </top>
      <bottom/>
      <diagonal/>
    </border>
    <border>
      <left style="dotted">
        <color indexed="64"/>
      </left>
      <right style="medium">
        <color indexed="64"/>
      </right>
      <top style="dotted">
        <color indexed="64"/>
      </top>
      <bottom/>
      <diagonal/>
    </border>
    <border>
      <left style="medium">
        <color indexed="64"/>
      </left>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medium">
        <color indexed="64"/>
      </top>
      <bottom style="dotted">
        <color indexed="64"/>
      </bottom>
      <diagonal/>
    </border>
    <border>
      <left style="medium">
        <color indexed="64"/>
      </left>
      <right/>
      <top/>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bottom style="dotted">
        <color indexed="64"/>
      </bottom>
      <diagonal/>
    </border>
    <border>
      <left style="medium">
        <color indexed="64"/>
      </left>
      <right/>
      <top/>
      <bottom style="dotted">
        <color indexed="64"/>
      </bottom>
      <diagonal/>
    </border>
    <border>
      <left style="dotted">
        <color indexed="64"/>
      </left>
      <right style="medium">
        <color indexed="64"/>
      </right>
      <top/>
      <bottom style="dotted">
        <color indexed="64"/>
      </bottom>
      <diagonal/>
    </border>
    <border>
      <left/>
      <right style="medium">
        <color indexed="64"/>
      </right>
      <top style="dotted">
        <color indexed="64"/>
      </top>
      <bottom/>
      <diagonal/>
    </border>
    <border>
      <left style="medium">
        <color indexed="64"/>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right style="thick">
        <color rgb="FFFFFFFF"/>
      </right>
      <top style="thin">
        <color indexed="64"/>
      </top>
      <bottom/>
      <diagonal/>
    </border>
    <border>
      <left style="thick">
        <color rgb="FFFFFFFF"/>
      </left>
      <right/>
      <top style="thin">
        <color indexed="64"/>
      </top>
      <bottom/>
      <diagonal/>
    </border>
    <border>
      <left style="thin">
        <color indexed="64"/>
      </left>
      <right/>
      <top/>
      <bottom style="medium">
        <color rgb="FF404041"/>
      </bottom>
      <diagonal/>
    </border>
    <border>
      <left/>
      <right style="thin">
        <color indexed="64"/>
      </right>
      <top/>
      <bottom style="medium">
        <color rgb="FF404041"/>
      </bottom>
      <diagonal/>
    </border>
    <border>
      <left style="thin">
        <color indexed="64"/>
      </left>
      <right/>
      <top style="medium">
        <color rgb="FF404041"/>
      </top>
      <bottom/>
      <diagonal/>
    </border>
    <border>
      <left/>
      <right style="thin">
        <color indexed="64"/>
      </right>
      <top style="medium">
        <color rgb="FF404041"/>
      </top>
      <bottom/>
      <diagonal/>
    </border>
    <border>
      <left style="thin">
        <color indexed="64"/>
      </left>
      <right/>
      <top/>
      <bottom style="thin">
        <color rgb="FF000000"/>
      </bottom>
      <diagonal/>
    </border>
    <border>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right/>
      <top/>
      <bottom style="thick">
        <color theme="9" tint="-0.499984740745262"/>
      </bottom>
      <diagonal/>
    </border>
    <border>
      <left style="thin">
        <color theme="1"/>
      </left>
      <right style="thin">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top style="medium">
        <color theme="1"/>
      </top>
      <bottom/>
      <diagonal/>
    </border>
  </borders>
  <cellStyleXfs count="9">
    <xf numFmtId="0" fontId="0" fillId="0" borderId="0"/>
    <xf numFmtId="9" fontId="1" fillId="0" borderId="0" applyFont="0" applyFill="0" applyBorder="0" applyAlignment="0" applyProtection="0"/>
    <xf numFmtId="0" fontId="19" fillId="0" borderId="0" applyNumberFormat="0" applyFill="0" applyBorder="0" applyAlignment="0" applyProtection="0"/>
    <xf numFmtId="43" fontId="1" fillId="0" borderId="0" applyFont="0" applyFill="0" applyBorder="0" applyAlignment="0" applyProtection="0"/>
    <xf numFmtId="0" fontId="45" fillId="0" borderId="0"/>
    <xf numFmtId="0" fontId="64" fillId="0" borderId="0"/>
    <xf numFmtId="0" fontId="19" fillId="0" borderId="0" applyNumberFormat="0" applyFill="0" applyBorder="0" applyAlignment="0" applyProtection="0"/>
    <xf numFmtId="0" fontId="35" fillId="38" borderId="0">
      <alignment vertical="top"/>
    </xf>
    <xf numFmtId="0" fontId="93" fillId="0" borderId="0"/>
  </cellStyleXfs>
  <cellXfs count="1586">
    <xf numFmtId="0" fontId="0" fillId="0" borderId="0" xfId="0"/>
    <xf numFmtId="0" fontId="3" fillId="0" borderId="0" xfId="0" applyFont="1" applyAlignment="1">
      <alignment vertical="center"/>
    </xf>
    <xf numFmtId="0" fontId="0" fillId="0" borderId="0" xfId="0" applyAlignment="1">
      <alignment vertical="center"/>
    </xf>
    <xf numFmtId="0" fontId="0" fillId="2" borderId="4" xfId="0" applyFill="1" applyBorder="1" applyAlignment="1">
      <alignment horizontal="left" vertical="center" indent="1"/>
    </xf>
    <xf numFmtId="0" fontId="0" fillId="2" borderId="5" xfId="0" applyFill="1" applyBorder="1" applyAlignment="1">
      <alignment vertical="center"/>
    </xf>
    <xf numFmtId="0" fontId="0" fillId="2" borderId="6" xfId="0" applyFill="1" applyBorder="1" applyAlignment="1">
      <alignment vertical="center"/>
    </xf>
    <xf numFmtId="0" fontId="4" fillId="0" borderId="0" xfId="0" applyFont="1" applyAlignment="1">
      <alignment horizontal="center"/>
    </xf>
    <xf numFmtId="0" fontId="5" fillId="0" borderId="0" xfId="0" applyFont="1"/>
    <xf numFmtId="0" fontId="0" fillId="3" borderId="0" xfId="0" applyFill="1"/>
    <xf numFmtId="0" fontId="6" fillId="3" borderId="0" xfId="0" applyFont="1" applyFill="1"/>
    <xf numFmtId="3" fontId="0" fillId="3" borderId="0" xfId="0" applyNumberFormat="1" applyFill="1"/>
    <xf numFmtId="0" fontId="2" fillId="2" borderId="7" xfId="0" applyFont="1" applyFill="1" applyBorder="1" applyAlignment="1">
      <alignment horizont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left" vertical="center" indent="1"/>
    </xf>
    <xf numFmtId="0" fontId="2" fillId="0" borderId="0" xfId="0" applyFont="1"/>
    <xf numFmtId="0" fontId="0" fillId="0" borderId="4"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9" xfId="0" applyBorder="1" applyAlignment="1">
      <alignment horizontal="left" vertical="center" indent="1"/>
    </xf>
    <xf numFmtId="0" fontId="0" fillId="0" borderId="10" xfId="0" applyBorder="1" applyAlignment="1">
      <alignment vertical="center"/>
    </xf>
    <xf numFmtId="0" fontId="0" fillId="0" borderId="10" xfId="0" quotePrefix="1"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0" fillId="0" borderId="0" xfId="0" quotePrefix="1" applyAlignment="1">
      <alignment vertical="center"/>
    </xf>
    <xf numFmtId="0" fontId="0" fillId="0" borderId="12" xfId="0" applyBorder="1" applyAlignment="1">
      <alignment vertical="center"/>
    </xf>
    <xf numFmtId="0" fontId="0" fillId="0" borderId="13" xfId="0" applyBorder="1" applyAlignment="1">
      <alignment vertical="center"/>
    </xf>
    <xf numFmtId="2" fontId="0" fillId="0" borderId="2" xfId="0" applyNumberFormat="1" applyBorder="1"/>
    <xf numFmtId="0" fontId="0" fillId="0" borderId="3" xfId="0" applyBorder="1"/>
    <xf numFmtId="2" fontId="0" fillId="0" borderId="8" xfId="0" applyNumberFormat="1" applyBorder="1"/>
    <xf numFmtId="0" fontId="0" fillId="0" borderId="12" xfId="0" applyBorder="1"/>
    <xf numFmtId="2" fontId="0" fillId="0" borderId="10" xfId="0" applyNumberFormat="1" applyBorder="1"/>
    <xf numFmtId="0" fontId="0" fillId="0" borderId="13" xfId="0" applyBorder="1"/>
    <xf numFmtId="0" fontId="0" fillId="0" borderId="12" xfId="0" applyBorder="1" applyAlignment="1">
      <alignment horizontal="left" vertical="center"/>
    </xf>
    <xf numFmtId="0" fontId="2" fillId="0" borderId="0" xfId="0" applyFont="1" applyAlignment="1">
      <alignment vertical="center"/>
    </xf>
    <xf numFmtId="0" fontId="2" fillId="0" borderId="1" xfId="0" applyFont="1" applyBorder="1" applyAlignment="1">
      <alignment vertical="center"/>
    </xf>
    <xf numFmtId="0" fontId="0" fillId="0" borderId="0" xfId="0" applyAlignment="1">
      <alignment horizontal="left" vertical="center"/>
    </xf>
    <xf numFmtId="0" fontId="2" fillId="0" borderId="9" xfId="0" applyFont="1" applyBorder="1" applyAlignment="1">
      <alignment horizontal="left" vertical="center" indent="1"/>
    </xf>
    <xf numFmtId="0" fontId="2" fillId="0" borderId="10" xfId="0" applyFont="1" applyBorder="1" applyAlignment="1">
      <alignment vertical="center"/>
    </xf>
    <xf numFmtId="0" fontId="2" fillId="0" borderId="10" xfId="0" applyFont="1" applyBorder="1" applyAlignment="1">
      <alignment horizontal="left" vertical="center"/>
    </xf>
    <xf numFmtId="0" fontId="2" fillId="0" borderId="13" xfId="0" quotePrefix="1" applyFont="1" applyBorder="1" applyAlignment="1">
      <alignment vertical="center"/>
    </xf>
    <xf numFmtId="0" fontId="0" fillId="0" borderId="10" xfId="0" applyBorder="1" applyAlignment="1">
      <alignment horizontal="left" vertical="center"/>
    </xf>
    <xf numFmtId="0" fontId="0" fillId="0" borderId="13" xfId="0"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3" fontId="0" fillId="0" borderId="8" xfId="0" applyNumberFormat="1" applyBorder="1" applyAlignment="1">
      <alignment horizontal="center" vertical="center"/>
    </xf>
    <xf numFmtId="3" fontId="2" fillId="0" borderId="9" xfId="0" applyNumberFormat="1" applyFont="1" applyBorder="1" applyAlignment="1">
      <alignment horizontal="center" vertical="center"/>
    </xf>
    <xf numFmtId="3" fontId="2" fillId="0" borderId="10" xfId="0" applyNumberFormat="1" applyFont="1" applyBorder="1" applyAlignment="1">
      <alignment horizontal="center" vertical="center"/>
    </xf>
    <xf numFmtId="3" fontId="0" fillId="0" borderId="12" xfId="0" applyNumberFormat="1" applyBorder="1" applyAlignment="1">
      <alignment horizontal="center" vertical="center"/>
    </xf>
    <xf numFmtId="2" fontId="0" fillId="0" borderId="12" xfId="0" applyNumberFormat="1" applyBorder="1"/>
    <xf numFmtId="0" fontId="6" fillId="0" borderId="0" xfId="0" applyFont="1"/>
    <xf numFmtId="3" fontId="0" fillId="0" borderId="0" xfId="0" applyNumberFormat="1"/>
    <xf numFmtId="0" fontId="7" fillId="0" borderId="8" xfId="0" applyFont="1" applyBorder="1" applyAlignment="1">
      <alignment horizontal="left" vertical="center" indent="1"/>
    </xf>
    <xf numFmtId="0" fontId="7" fillId="0" borderId="9" xfId="0" applyFont="1" applyBorder="1" applyAlignment="1">
      <alignment horizontal="left" vertical="center" indent="1"/>
    </xf>
    <xf numFmtId="0" fontId="8" fillId="0" borderId="0" xfId="0" applyFont="1" applyAlignment="1">
      <alignment vertical="center"/>
    </xf>
    <xf numFmtId="0" fontId="0" fillId="0" borderId="2" xfId="0" quotePrefix="1" applyBorder="1" applyAlignment="1">
      <alignment vertical="center"/>
    </xf>
    <xf numFmtId="0" fontId="2" fillId="0" borderId="0" xfId="0" applyFont="1" applyAlignment="1">
      <alignment horizontal="center"/>
    </xf>
    <xf numFmtId="164" fontId="0" fillId="0" borderId="2" xfId="0" applyNumberFormat="1" applyBorder="1" applyAlignment="1">
      <alignment horizontal="center" vertical="center"/>
    </xf>
    <xf numFmtId="0" fontId="0" fillId="0" borderId="8" xfId="0" applyBorder="1" applyAlignment="1">
      <alignment horizontal="left" vertical="center"/>
    </xf>
    <xf numFmtId="0" fontId="0" fillId="0" borderId="1" xfId="0" applyBorder="1" applyAlignment="1">
      <alignment horizontal="left" vertical="center"/>
    </xf>
    <xf numFmtId="0" fontId="2" fillId="0" borderId="4" xfId="0" applyFont="1" applyBorder="1"/>
    <xf numFmtId="0" fontId="0" fillId="0" borderId="5" xfId="0" applyBorder="1"/>
    <xf numFmtId="0" fontId="0" fillId="0" borderId="6" xfId="0" applyBorder="1"/>
    <xf numFmtId="0" fontId="0" fillId="0" borderId="4" xfId="0" applyBorder="1"/>
    <xf numFmtId="0" fontId="2" fillId="0" borderId="9" xfId="0" applyFont="1" applyBorder="1" applyAlignment="1">
      <alignment vertical="center"/>
    </xf>
    <xf numFmtId="3" fontId="0" fillId="0" borderId="2" xfId="0" applyNumberFormat="1" applyBorder="1" applyAlignment="1">
      <alignment horizontal="right" vertical="center" indent="1"/>
    </xf>
    <xf numFmtId="3" fontId="0" fillId="0" borderId="2" xfId="0" applyNumberFormat="1" applyBorder="1" applyAlignment="1">
      <alignment horizontal="center" vertical="center"/>
    </xf>
    <xf numFmtId="0" fontId="0" fillId="0" borderId="1" xfId="0" applyBorder="1"/>
    <xf numFmtId="0" fontId="0" fillId="0" borderId="2" xfId="0" applyBorder="1"/>
    <xf numFmtId="0" fontId="0" fillId="0" borderId="8" xfId="0" applyBorder="1"/>
    <xf numFmtId="0" fontId="0" fillId="0" borderId="8" xfId="0" applyBorder="1" applyAlignment="1">
      <alignment vertical="center"/>
    </xf>
    <xf numFmtId="0" fontId="9" fillId="0" borderId="8" xfId="0" applyFont="1" applyBorder="1" applyAlignment="1">
      <alignment horizontal="left" vertical="center" indent="1"/>
    </xf>
    <xf numFmtId="0" fontId="2" fillId="0" borderId="4" xfId="0" applyFont="1" applyBorder="1" applyAlignment="1">
      <alignment vertical="center"/>
    </xf>
    <xf numFmtId="0" fontId="2" fillId="0" borderId="5" xfId="0" applyFont="1" applyBorder="1" applyAlignment="1">
      <alignment vertical="center"/>
    </xf>
    <xf numFmtId="0" fontId="10" fillId="0" borderId="0" xfId="0" applyFont="1"/>
    <xf numFmtId="0" fontId="0" fillId="8" borderId="19" xfId="0" applyFill="1" applyBorder="1" applyAlignment="1">
      <alignment vertical="center" wrapText="1"/>
    </xf>
    <xf numFmtId="0" fontId="0" fillId="8" borderId="19" xfId="0" applyFill="1" applyBorder="1" applyAlignment="1">
      <alignment vertical="top" wrapText="1"/>
    </xf>
    <xf numFmtId="0" fontId="12" fillId="8" borderId="19" xfId="0" applyFont="1" applyFill="1" applyBorder="1" applyAlignment="1">
      <alignment horizontal="center" vertical="center" wrapText="1"/>
    </xf>
    <xf numFmtId="0" fontId="0" fillId="0" borderId="0" xfId="0" applyAlignment="1">
      <alignment horizontal="center"/>
    </xf>
    <xf numFmtId="0" fontId="3" fillId="0" borderId="11" xfId="0" applyFont="1" applyBorder="1" applyAlignment="1">
      <alignment horizontal="center" vertical="center" textRotation="90"/>
    </xf>
    <xf numFmtId="0" fontId="12" fillId="6" borderId="4" xfId="0" applyFont="1" applyFill="1" applyBorder="1" applyAlignment="1">
      <alignment horizontal="left" vertical="center" wrapText="1"/>
    </xf>
    <xf numFmtId="0" fontId="12" fillId="7" borderId="5"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0" fillId="0" borderId="2" xfId="0" applyBorder="1" applyAlignment="1">
      <alignment horizontal="left" vertical="center"/>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7" xfId="0" applyBorder="1"/>
    <xf numFmtId="0" fontId="0" fillId="0" borderId="14" xfId="0" applyBorder="1"/>
    <xf numFmtId="0" fontId="0" fillId="0" borderId="24" xfId="0" applyBorder="1"/>
    <xf numFmtId="0" fontId="0" fillId="0" borderId="9" xfId="0" applyBorder="1"/>
    <xf numFmtId="0" fontId="0" fillId="0" borderId="10" xfId="0" applyBorder="1"/>
    <xf numFmtId="0" fontId="7" fillId="6" borderId="6" xfId="0" applyFont="1" applyFill="1" applyBorder="1" applyAlignment="1">
      <alignment horizontal="center" vertical="center" wrapText="1"/>
    </xf>
    <xf numFmtId="14" fontId="0" fillId="0" borderId="0" xfId="0" applyNumberFormat="1" applyAlignment="1">
      <alignment horizontal="left"/>
    </xf>
    <xf numFmtId="0" fontId="16" fillId="0" borderId="0" xfId="0" applyFont="1" applyAlignment="1">
      <alignment horizontal="center" vertical="center"/>
    </xf>
    <xf numFmtId="0" fontId="17" fillId="0" borderId="0" xfId="0" applyFont="1"/>
    <xf numFmtId="0" fontId="0" fillId="10" borderId="8" xfId="0" applyFill="1" applyBorder="1"/>
    <xf numFmtId="0" fontId="0" fillId="10" borderId="14" xfId="0" applyFill="1" applyBorder="1"/>
    <xf numFmtId="0" fontId="0" fillId="10" borderId="9" xfId="0" applyFill="1" applyBorder="1"/>
    <xf numFmtId="0" fontId="0" fillId="0" borderId="0" xfId="0" applyAlignment="1">
      <alignment horizontal="left" vertical="center" indent="1"/>
    </xf>
    <xf numFmtId="0" fontId="18" fillId="0" borderId="0" xfId="0" applyFont="1" applyAlignment="1">
      <alignment vertical="center"/>
    </xf>
    <xf numFmtId="14" fontId="0" fillId="0" borderId="0" xfId="0" applyNumberFormat="1"/>
    <xf numFmtId="0" fontId="0" fillId="0" borderId="4" xfId="0" applyBorder="1" applyAlignment="1">
      <alignment horizontal="left" vertical="center"/>
    </xf>
    <xf numFmtId="0" fontId="0" fillId="0" borderId="5" xfId="0" applyBorder="1" applyAlignment="1">
      <alignment horizontal="left" vertical="center"/>
    </xf>
    <xf numFmtId="0" fontId="0" fillId="0" borderId="9"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3" fontId="0" fillId="4" borderId="7" xfId="0" applyNumberFormat="1" applyFill="1" applyBorder="1" applyAlignment="1">
      <alignment horizontal="center" vertical="center"/>
    </xf>
    <xf numFmtId="3" fontId="0" fillId="4" borderId="14" xfId="0" applyNumberFormat="1" applyFill="1" applyBorder="1" applyAlignment="1">
      <alignment horizontal="center" vertical="center"/>
    </xf>
    <xf numFmtId="3" fontId="0" fillId="4" borderId="24" xfId="0" applyNumberFormat="1" applyFill="1" applyBorder="1" applyAlignment="1">
      <alignment horizontal="center" vertical="center"/>
    </xf>
    <xf numFmtId="0" fontId="0" fillId="0" borderId="11" xfId="0" applyBorder="1" applyAlignment="1">
      <alignment horizontal="center" vertical="center"/>
    </xf>
    <xf numFmtId="3" fontId="0" fillId="5" borderId="14" xfId="0" applyNumberFormat="1" applyFill="1" applyBorder="1" applyAlignment="1">
      <alignment horizontal="center" vertical="center"/>
    </xf>
    <xf numFmtId="0" fontId="8" fillId="0" borderId="0" xfId="0" applyFont="1"/>
    <xf numFmtId="9" fontId="0" fillId="0" borderId="8" xfId="1" applyFont="1" applyBorder="1"/>
    <xf numFmtId="9" fontId="0" fillId="0" borderId="0" xfId="1" applyFont="1" applyBorder="1"/>
    <xf numFmtId="9" fontId="0" fillId="0" borderId="12" xfId="1" applyFont="1" applyBorder="1"/>
    <xf numFmtId="9" fontId="0" fillId="0" borderId="9" xfId="1" applyFont="1" applyBorder="1"/>
    <xf numFmtId="9" fontId="0" fillId="0" borderId="10" xfId="1" applyFont="1" applyBorder="1"/>
    <xf numFmtId="9" fontId="0" fillId="0" borderId="13" xfId="1" applyFont="1" applyBorder="1"/>
    <xf numFmtId="0" fontId="19" fillId="0" borderId="0" xfId="2"/>
    <xf numFmtId="0" fontId="20" fillId="10" borderId="8" xfId="0" applyFont="1" applyFill="1" applyBorder="1" applyAlignment="1">
      <alignment horizontal="left" vertical="center" wrapText="1"/>
    </xf>
    <xf numFmtId="0" fontId="20" fillId="10" borderId="12" xfId="0" applyFont="1" applyFill="1" applyBorder="1" applyAlignment="1">
      <alignment vertical="center" wrapText="1"/>
    </xf>
    <xf numFmtId="0" fontId="20" fillId="10" borderId="3" xfId="0" applyFont="1" applyFill="1" applyBorder="1" applyAlignment="1">
      <alignment vertical="center" wrapText="1"/>
    </xf>
    <xf numFmtId="0" fontId="25" fillId="10" borderId="12" xfId="0" applyFont="1" applyFill="1" applyBorder="1" applyAlignment="1">
      <alignment vertical="center" wrapText="1"/>
    </xf>
    <xf numFmtId="0" fontId="21" fillId="10" borderId="12" xfId="0" applyFont="1" applyFill="1" applyBorder="1" applyAlignment="1">
      <alignment vertical="center" wrapText="1"/>
    </xf>
    <xf numFmtId="0" fontId="20" fillId="10" borderId="9" xfId="0" applyFont="1" applyFill="1" applyBorder="1" applyAlignment="1">
      <alignment horizontal="left" vertical="center" wrapText="1"/>
    </xf>
    <xf numFmtId="0" fontId="20" fillId="10" borderId="10" xfId="0" applyFont="1" applyFill="1" applyBorder="1" applyAlignment="1">
      <alignment horizontal="left" vertical="center" wrapText="1"/>
    </xf>
    <xf numFmtId="0" fontId="20" fillId="10" borderId="10" xfId="0" applyFont="1" applyFill="1" applyBorder="1" applyAlignment="1">
      <alignment vertical="center" wrapText="1"/>
    </xf>
    <xf numFmtId="9" fontId="20" fillId="10" borderId="10" xfId="0" applyNumberFormat="1" applyFont="1" applyFill="1" applyBorder="1" applyAlignment="1">
      <alignment horizontal="center" vertical="center" wrapText="1"/>
    </xf>
    <xf numFmtId="0" fontId="27" fillId="10" borderId="10" xfId="0" applyFont="1" applyFill="1" applyBorder="1" applyAlignment="1">
      <alignment horizontal="left" vertical="center" wrapText="1"/>
    </xf>
    <xf numFmtId="0" fontId="20" fillId="10" borderId="13" xfId="0" applyFont="1" applyFill="1" applyBorder="1" applyAlignment="1">
      <alignment vertical="center" wrapText="1"/>
    </xf>
    <xf numFmtId="0" fontId="20" fillId="10" borderId="1" xfId="0" applyFont="1" applyFill="1" applyBorder="1" applyAlignment="1">
      <alignment horizontal="left" vertical="center" wrapText="1"/>
    </xf>
    <xf numFmtId="0" fontId="20" fillId="10" borderId="2" xfId="0" applyFont="1" applyFill="1" applyBorder="1" applyAlignment="1">
      <alignment horizontal="left" vertical="center" wrapText="1"/>
    </xf>
    <xf numFmtId="9" fontId="20" fillId="10" borderId="2" xfId="0" applyNumberFormat="1" applyFont="1" applyFill="1" applyBorder="1" applyAlignment="1">
      <alignment horizontal="center" vertical="center" wrapText="1"/>
    </xf>
    <xf numFmtId="0" fontId="20" fillId="10" borderId="2" xfId="0" applyFont="1" applyFill="1" applyBorder="1" applyAlignment="1">
      <alignment vertical="center" wrapText="1"/>
    </xf>
    <xf numFmtId="0" fontId="20" fillId="10" borderId="0" xfId="0" applyFont="1" applyFill="1" applyAlignment="1">
      <alignment horizontal="left" vertical="center" wrapText="1"/>
    </xf>
    <xf numFmtId="0" fontId="21" fillId="10" borderId="0" xfId="0" applyFont="1" applyFill="1" applyAlignment="1">
      <alignment horizontal="left" vertical="center" wrapText="1"/>
    </xf>
    <xf numFmtId="0" fontId="20" fillId="10" borderId="4" xfId="0" applyFont="1" applyFill="1" applyBorder="1" applyAlignment="1">
      <alignment horizontal="left" vertical="center" wrapText="1"/>
    </xf>
    <xf numFmtId="0" fontId="20" fillId="10" borderId="5" xfId="0" applyFont="1" applyFill="1" applyBorder="1" applyAlignment="1">
      <alignment horizontal="left" vertical="center" wrapText="1"/>
    </xf>
    <xf numFmtId="0" fontId="21" fillId="10" borderId="5" xfId="0" applyFont="1" applyFill="1" applyBorder="1" applyAlignment="1">
      <alignment vertical="center" wrapText="1"/>
    </xf>
    <xf numFmtId="9" fontId="20" fillId="10" borderId="5" xfId="0" applyNumberFormat="1" applyFont="1" applyFill="1" applyBorder="1" applyAlignment="1">
      <alignment horizontal="center" vertical="center" wrapText="1"/>
    </xf>
    <xf numFmtId="0" fontId="24" fillId="11" borderId="5" xfId="0" applyFont="1" applyFill="1" applyBorder="1" applyAlignment="1">
      <alignment horizontal="left" vertical="center" wrapText="1"/>
    </xf>
    <xf numFmtId="0" fontId="21" fillId="10" borderId="6" xfId="0" applyFont="1" applyFill="1" applyBorder="1" applyAlignment="1">
      <alignment vertical="center" wrapText="1"/>
    </xf>
    <xf numFmtId="0" fontId="20" fillId="10" borderId="5" xfId="0" applyFont="1" applyFill="1" applyBorder="1" applyAlignment="1">
      <alignment vertical="center" wrapText="1"/>
    </xf>
    <xf numFmtId="0" fontId="27" fillId="10" borderId="5" xfId="0" applyFont="1" applyFill="1" applyBorder="1" applyAlignment="1">
      <alignment horizontal="left" vertical="center" wrapText="1"/>
    </xf>
    <xf numFmtId="0" fontId="12"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vertical="center" textRotation="90"/>
    </xf>
    <xf numFmtId="0" fontId="12" fillId="0" borderId="0" xfId="0" applyFont="1" applyAlignment="1">
      <alignment horizontal="left" vertical="center" wrapText="1"/>
    </xf>
    <xf numFmtId="0" fontId="0" fillId="14" borderId="1" xfId="0" applyFill="1" applyBorder="1" applyAlignment="1">
      <alignment horizontal="center" vertical="center"/>
    </xf>
    <xf numFmtId="0" fontId="0" fillId="14" borderId="2" xfId="0" applyFill="1" applyBorder="1" applyAlignment="1">
      <alignment horizontal="center" vertical="center"/>
    </xf>
    <xf numFmtId="0" fontId="0" fillId="14" borderId="3" xfId="0" applyFill="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2" fontId="0" fillId="0" borderId="0" xfId="0" applyNumberFormat="1"/>
    <xf numFmtId="3" fontId="0" fillId="0" borderId="0" xfId="0" applyNumberFormat="1" applyAlignment="1">
      <alignment horizontal="center" vertical="center"/>
    </xf>
    <xf numFmtId="1" fontId="0" fillId="0" borderId="0" xfId="0" applyNumberFormat="1" applyAlignment="1">
      <alignment horizontal="right" vertical="center" indent="1"/>
    </xf>
    <xf numFmtId="9" fontId="0" fillId="0" borderId="0" xfId="1" applyFont="1" applyBorder="1" applyAlignment="1">
      <alignment horizontal="right" vertical="center" indent="1"/>
    </xf>
    <xf numFmtId="1" fontId="0" fillId="0" borderId="8" xfId="0" applyNumberFormat="1" applyBorder="1" applyAlignment="1">
      <alignment horizontal="right" vertical="center" indent="1"/>
    </xf>
    <xf numFmtId="1" fontId="0" fillId="0" borderId="12" xfId="0" applyNumberFormat="1" applyBorder="1" applyAlignment="1">
      <alignment horizontal="right" vertical="center" indent="1"/>
    </xf>
    <xf numFmtId="0" fontId="0" fillId="0" borderId="8" xfId="0" applyBorder="1" applyAlignment="1">
      <alignment horizontal="center" vertical="center"/>
    </xf>
    <xf numFmtId="0" fontId="0" fillId="0" borderId="12" xfId="0" applyBorder="1" applyAlignment="1">
      <alignment horizontal="center" vertical="center"/>
    </xf>
    <xf numFmtId="9" fontId="0" fillId="0" borderId="8" xfId="1" applyFont="1" applyFill="1" applyBorder="1" applyAlignment="1">
      <alignment horizontal="right" vertical="center" indent="1"/>
    </xf>
    <xf numFmtId="9" fontId="0" fillId="0" borderId="12" xfId="1" applyFont="1" applyFill="1" applyBorder="1" applyAlignment="1">
      <alignment horizontal="right" vertical="center" indent="1"/>
    </xf>
    <xf numFmtId="9" fontId="0" fillId="0" borderId="9" xfId="1" applyFont="1" applyFill="1" applyBorder="1" applyAlignment="1">
      <alignment horizontal="right" vertical="center" indent="1"/>
    </xf>
    <xf numFmtId="9" fontId="0" fillId="0" borderId="10" xfId="1" applyFont="1" applyBorder="1" applyAlignment="1">
      <alignment horizontal="right" vertical="center" indent="1"/>
    </xf>
    <xf numFmtId="9" fontId="0" fillId="0" borderId="13" xfId="1" applyFont="1" applyFill="1" applyBorder="1" applyAlignment="1">
      <alignment horizontal="right" vertical="center" indent="1"/>
    </xf>
    <xf numFmtId="3" fontId="0" fillId="0" borderId="9" xfId="0" applyNumberFormat="1" applyBorder="1" applyAlignment="1">
      <alignment horizontal="center" vertical="center"/>
    </xf>
    <xf numFmtId="3" fontId="0" fillId="0" borderId="10" xfId="0" applyNumberFormat="1" applyBorder="1" applyAlignment="1">
      <alignment horizontal="center" vertical="center"/>
    </xf>
    <xf numFmtId="3" fontId="0" fillId="0" borderId="0" xfId="0" applyNumberFormat="1" applyAlignment="1">
      <alignment horizontal="right" vertical="center" indent="1"/>
    </xf>
    <xf numFmtId="3" fontId="0" fillId="0" borderId="1" xfId="0" applyNumberFormat="1" applyBorder="1" applyAlignment="1">
      <alignment horizontal="center" vertical="center"/>
    </xf>
    <xf numFmtId="3" fontId="0" fillId="5" borderId="8" xfId="0" applyNumberFormat="1" applyFill="1" applyBorder="1" applyAlignment="1">
      <alignment horizontal="center" vertical="center"/>
    </xf>
    <xf numFmtId="3" fontId="0" fillId="5" borderId="12" xfId="0" applyNumberFormat="1" applyFill="1" applyBorder="1" applyAlignment="1">
      <alignment horizontal="center" vertical="center"/>
    </xf>
    <xf numFmtId="165" fontId="0" fillId="0" borderId="0" xfId="1" applyNumberFormat="1" applyFont="1" applyFill="1" applyBorder="1" applyAlignment="1">
      <alignment horizontal="right" vertical="center" indent="1"/>
    </xf>
    <xf numFmtId="2" fontId="0" fillId="0" borderId="10" xfId="0" applyNumberFormat="1" applyBorder="1" applyAlignment="1">
      <alignment horizontal="center" vertical="center"/>
    </xf>
    <xf numFmtId="2" fontId="0" fillId="0" borderId="2" xfId="0" applyNumberFormat="1" applyBorder="1" applyAlignment="1">
      <alignment horizontal="center"/>
    </xf>
    <xf numFmtId="2" fontId="0" fillId="0" borderId="3" xfId="0" applyNumberFormat="1" applyBorder="1" applyAlignment="1">
      <alignment horizontal="center"/>
    </xf>
    <xf numFmtId="2" fontId="0" fillId="0" borderId="12" xfId="0" applyNumberFormat="1" applyBorder="1" applyAlignment="1">
      <alignment horizontal="center"/>
    </xf>
    <xf numFmtId="2" fontId="0" fillId="0" borderId="10" xfId="0" applyNumberFormat="1" applyBorder="1" applyAlignment="1">
      <alignment horizontal="center"/>
    </xf>
    <xf numFmtId="2" fontId="0" fillId="0" borderId="13" xfId="0" applyNumberFormat="1" applyBorder="1" applyAlignment="1">
      <alignment horizontal="center"/>
    </xf>
    <xf numFmtId="2" fontId="0" fillId="0" borderId="2" xfId="0" applyNumberFormat="1" applyBorder="1" applyAlignment="1">
      <alignment horizontal="center" vertical="center"/>
    </xf>
    <xf numFmtId="2" fontId="0" fillId="0" borderId="5" xfId="0" applyNumberFormat="1" applyBorder="1"/>
    <xf numFmtId="0" fontId="0" fillId="18" borderId="0" xfId="0" applyFill="1"/>
    <xf numFmtId="0" fontId="17" fillId="0" borderId="8" xfId="0" applyFont="1" applyBorder="1"/>
    <xf numFmtId="0" fontId="17" fillId="0" borderId="9" xfId="0" applyFont="1" applyBorder="1"/>
    <xf numFmtId="0" fontId="17" fillId="0" borderId="12" xfId="0" applyFont="1" applyBorder="1"/>
    <xf numFmtId="0" fontId="17" fillId="0" borderId="0" xfId="2" applyFont="1"/>
    <xf numFmtId="0" fontId="0" fillId="0" borderId="11" xfId="0" applyBorder="1"/>
    <xf numFmtId="3" fontId="0" fillId="0" borderId="14" xfId="0" applyNumberFormat="1" applyBorder="1" applyAlignment="1">
      <alignment horizontal="center" vertical="center"/>
    </xf>
    <xf numFmtId="3" fontId="0" fillId="0" borderId="24" xfId="0" applyNumberFormat="1" applyBorder="1" applyAlignment="1">
      <alignment horizontal="center" vertical="center"/>
    </xf>
    <xf numFmtId="0" fontId="2" fillId="0" borderId="8" xfId="0" applyFont="1" applyBorder="1" applyAlignment="1">
      <alignment vertical="center"/>
    </xf>
    <xf numFmtId="2" fontId="0" fillId="0" borderId="14" xfId="0" applyNumberFormat="1" applyBorder="1"/>
    <xf numFmtId="9" fontId="0" fillId="0" borderId="11" xfId="1" applyFont="1" applyBorder="1"/>
    <xf numFmtId="9" fontId="0" fillId="0" borderId="14" xfId="1" applyFont="1" applyBorder="1"/>
    <xf numFmtId="0" fontId="2" fillId="0" borderId="1" xfId="0" applyFont="1" applyBorder="1"/>
    <xf numFmtId="0" fontId="0" fillId="0" borderId="1" xfId="0" applyBorder="1" applyAlignment="1">
      <alignment horizontal="left" vertical="center" indent="1"/>
    </xf>
    <xf numFmtId="0" fontId="30" fillId="0" borderId="0" xfId="0" applyFont="1"/>
    <xf numFmtId="0" fontId="17" fillId="0" borderId="5" xfId="0" applyFont="1" applyBorder="1" applyAlignment="1">
      <alignment vertical="center"/>
    </xf>
    <xf numFmtId="0" fontId="17" fillId="0" borderId="2" xfId="0" applyFont="1" applyBorder="1" applyAlignment="1">
      <alignment vertical="center"/>
    </xf>
    <xf numFmtId="0" fontId="17" fillId="0" borderId="10" xfId="0" applyFont="1" applyBorder="1" applyAlignment="1">
      <alignment vertical="center"/>
    </xf>
    <xf numFmtId="0" fontId="8" fillId="0" borderId="10" xfId="0" applyFont="1" applyBorder="1" applyAlignment="1">
      <alignment vertical="center"/>
    </xf>
    <xf numFmtId="0" fontId="17" fillId="0" borderId="0" xfId="0" applyFont="1" applyAlignment="1">
      <alignment vertical="center"/>
    </xf>
    <xf numFmtId="0" fontId="31" fillId="0" borderId="0" xfId="0" applyFont="1"/>
    <xf numFmtId="0" fontId="20" fillId="10" borderId="0" xfId="0" applyFont="1" applyFill="1" applyAlignment="1">
      <alignment vertical="center" wrapText="1"/>
    </xf>
    <xf numFmtId="0" fontId="25" fillId="10" borderId="0" xfId="0" applyFont="1" applyFill="1" applyAlignment="1">
      <alignment vertical="center" wrapText="1"/>
    </xf>
    <xf numFmtId="0" fontId="21" fillId="10" borderId="0" xfId="0" applyFont="1" applyFill="1" applyAlignment="1">
      <alignment vertical="center" wrapText="1"/>
    </xf>
    <xf numFmtId="0" fontId="0" fillId="0" borderId="27" xfId="0" applyBorder="1"/>
    <xf numFmtId="9" fontId="20" fillId="10" borderId="0" xfId="0" applyNumberFormat="1" applyFont="1" applyFill="1" applyAlignment="1">
      <alignment horizontal="center" vertical="center" wrapText="1"/>
    </xf>
    <xf numFmtId="9" fontId="20" fillId="10" borderId="0" xfId="0" applyNumberFormat="1" applyFont="1" applyFill="1" applyAlignment="1">
      <alignment vertical="center" wrapText="1"/>
    </xf>
    <xf numFmtId="0" fontId="24" fillId="11" borderId="0" xfId="0" applyFont="1" applyFill="1" applyAlignment="1">
      <alignment horizontal="left" vertical="center" wrapText="1"/>
    </xf>
    <xf numFmtId="0" fontId="26" fillId="12" borderId="0" xfId="0" applyFont="1" applyFill="1" applyAlignment="1">
      <alignment horizontal="center" vertical="center" wrapText="1"/>
    </xf>
    <xf numFmtId="9" fontId="21" fillId="10" borderId="0" xfId="0" applyNumberFormat="1" applyFont="1" applyFill="1" applyAlignment="1">
      <alignment horizontal="center" vertical="center" wrapText="1"/>
    </xf>
    <xf numFmtId="0" fontId="22" fillId="10" borderId="0" xfId="0" applyFont="1" applyFill="1" applyAlignment="1">
      <alignment horizontal="left" vertical="center" wrapText="1"/>
    </xf>
    <xf numFmtId="9" fontId="20" fillId="13" borderId="0" xfId="0" applyNumberFormat="1" applyFont="1" applyFill="1" applyAlignment="1">
      <alignment horizontal="center" vertical="center" wrapText="1"/>
    </xf>
    <xf numFmtId="0" fontId="27" fillId="10" borderId="0" xfId="0" applyFont="1" applyFill="1" applyAlignment="1">
      <alignment horizontal="left" vertical="center" wrapText="1"/>
    </xf>
    <xf numFmtId="0" fontId="21" fillId="10" borderId="1" xfId="0" applyFont="1" applyFill="1" applyBorder="1" applyAlignment="1">
      <alignment vertical="center" wrapText="1"/>
    </xf>
    <xf numFmtId="0" fontId="21" fillId="10" borderId="8" xfId="0" applyFont="1" applyFill="1" applyBorder="1" applyAlignment="1">
      <alignment vertical="center" wrapText="1"/>
    </xf>
    <xf numFmtId="0" fontId="21" fillId="10" borderId="9" xfId="0" applyFont="1" applyFill="1" applyBorder="1" applyAlignment="1">
      <alignment vertical="center" wrapText="1"/>
    </xf>
    <xf numFmtId="0" fontId="21" fillId="10" borderId="4" xfId="0" applyFont="1" applyFill="1" applyBorder="1" applyAlignment="1">
      <alignment vertical="center" wrapText="1"/>
    </xf>
    <xf numFmtId="0" fontId="21" fillId="10" borderId="8" xfId="0" applyFont="1" applyFill="1" applyBorder="1" applyAlignment="1">
      <alignment horizontal="left" vertical="center" wrapText="1"/>
    </xf>
    <xf numFmtId="0" fontId="20" fillId="10" borderId="8" xfId="0" applyFont="1" applyFill="1" applyBorder="1" applyAlignment="1">
      <alignment vertical="center" wrapText="1"/>
    </xf>
    <xf numFmtId="0" fontId="20" fillId="10" borderId="9" xfId="0" applyFont="1" applyFill="1" applyBorder="1" applyAlignment="1">
      <alignment vertical="center" wrapText="1"/>
    </xf>
    <xf numFmtId="0" fontId="0" fillId="20" borderId="32" xfId="0" applyFill="1" applyBorder="1"/>
    <xf numFmtId="0" fontId="0" fillId="20" borderId="31" xfId="0" applyFill="1" applyBorder="1"/>
    <xf numFmtId="0" fontId="0" fillId="20" borderId="25" xfId="0" applyFill="1" applyBorder="1"/>
    <xf numFmtId="0" fontId="0" fillId="20" borderId="27" xfId="0" applyFill="1" applyBorder="1"/>
    <xf numFmtId="0" fontId="0" fillId="20" borderId="29" xfId="0" applyFill="1" applyBorder="1"/>
    <xf numFmtId="0" fontId="0" fillId="21" borderId="26" xfId="0" applyFill="1" applyBorder="1"/>
    <xf numFmtId="0" fontId="0" fillId="21" borderId="25" xfId="0" applyFill="1" applyBorder="1"/>
    <xf numFmtId="0" fontId="0" fillId="21" borderId="30" xfId="0" applyFill="1" applyBorder="1"/>
    <xf numFmtId="0" fontId="0" fillId="21" borderId="28" xfId="0" applyFill="1" applyBorder="1"/>
    <xf numFmtId="0" fontId="0" fillId="21" borderId="29" xfId="0" applyFill="1" applyBorder="1"/>
    <xf numFmtId="0" fontId="0" fillId="18" borderId="27" xfId="0" applyFill="1" applyBorder="1"/>
    <xf numFmtId="0" fontId="0" fillId="18" borderId="33" xfId="0" applyFill="1" applyBorder="1"/>
    <xf numFmtId="0" fontId="0" fillId="20" borderId="0" xfId="0" applyFill="1"/>
    <xf numFmtId="0" fontId="0" fillId="20" borderId="26" xfId="0" applyFill="1"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20" borderId="30" xfId="0" applyFill="1" applyBorder="1"/>
    <xf numFmtId="0" fontId="0" fillId="22" borderId="27" xfId="0" applyFill="1"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22" borderId="28" xfId="0" applyFill="1" applyBorder="1"/>
    <xf numFmtId="0" fontId="0" fillId="22" borderId="32" xfId="0" applyFill="1" applyBorder="1"/>
    <xf numFmtId="0" fontId="0" fillId="22" borderId="34" xfId="0" applyFill="1" applyBorder="1"/>
    <xf numFmtId="0" fontId="0" fillId="22" borderId="0" xfId="0" applyFill="1"/>
    <xf numFmtId="0" fontId="0" fillId="20" borderId="28" xfId="0" applyFill="1" applyBorder="1"/>
    <xf numFmtId="0" fontId="0" fillId="21" borderId="35" xfId="0" applyFill="1" applyBorder="1"/>
    <xf numFmtId="0" fontId="0" fillId="21" borderId="53" xfId="0" applyFill="1" applyBorder="1"/>
    <xf numFmtId="0" fontId="0" fillId="21" borderId="51" xfId="0" applyFill="1" applyBorder="1"/>
    <xf numFmtId="0" fontId="0" fillId="21" borderId="52" xfId="0" applyFill="1" applyBorder="1"/>
    <xf numFmtId="0" fontId="0" fillId="21" borderId="31" xfId="0" applyFill="1" applyBorder="1"/>
    <xf numFmtId="0" fontId="0" fillId="21" borderId="57" xfId="0" applyFill="1" applyBorder="1"/>
    <xf numFmtId="0" fontId="0" fillId="21" borderId="56" xfId="0" applyFill="1" applyBorder="1"/>
    <xf numFmtId="0" fontId="0" fillId="22" borderId="55" xfId="0" applyFill="1" applyBorder="1"/>
    <xf numFmtId="0" fontId="0" fillId="22" borderId="56" xfId="0" applyFill="1" applyBorder="1"/>
    <xf numFmtId="0" fontId="0" fillId="0" borderId="9" xfId="0" applyBorder="1" applyAlignment="1">
      <alignment vertical="center"/>
    </xf>
    <xf numFmtId="0" fontId="0" fillId="0" borderId="4" xfId="0" applyBorder="1" applyAlignment="1">
      <alignment horizontal="center" vertical="center"/>
    </xf>
    <xf numFmtId="3" fontId="0" fillId="0" borderId="8" xfId="0" applyNumberFormat="1" applyBorder="1" applyAlignment="1">
      <alignment horizontal="right" vertical="center" indent="1"/>
    </xf>
    <xf numFmtId="3" fontId="0" fillId="0" borderId="12" xfId="0" applyNumberFormat="1" applyBorder="1" applyAlignment="1">
      <alignment horizontal="right" vertical="center" indent="1"/>
    </xf>
    <xf numFmtId="3" fontId="0" fillId="0" borderId="9" xfId="0" applyNumberFormat="1" applyBorder="1" applyAlignment="1">
      <alignment horizontal="right" vertical="center" indent="1"/>
    </xf>
    <xf numFmtId="3" fontId="0" fillId="0" borderId="10" xfId="0" applyNumberFormat="1" applyBorder="1" applyAlignment="1">
      <alignment horizontal="right" vertical="center" indent="1"/>
    </xf>
    <xf numFmtId="3" fontId="0" fillId="0" borderId="13" xfId="0" applyNumberFormat="1" applyBorder="1" applyAlignment="1">
      <alignment horizontal="right" vertical="center" indent="1"/>
    </xf>
    <xf numFmtId="0" fontId="4" fillId="0" borderId="0" xfId="0" applyFont="1"/>
    <xf numFmtId="0" fontId="0" fillId="0" borderId="0" xfId="0" quotePrefix="1" applyAlignment="1">
      <alignment horizontal="center" vertical="center"/>
    </xf>
    <xf numFmtId="0" fontId="0" fillId="0" borderId="10" xfId="0" quotePrefix="1" applyBorder="1" applyAlignment="1">
      <alignment horizontal="center" vertical="center"/>
    </xf>
    <xf numFmtId="3" fontId="0" fillId="0" borderId="3" xfId="0" applyNumberFormat="1" applyBorder="1" applyAlignment="1">
      <alignment horizontal="right" vertical="center" indent="1"/>
    </xf>
    <xf numFmtId="9" fontId="0" fillId="0" borderId="3" xfId="1" applyFont="1" applyBorder="1"/>
    <xf numFmtId="0" fontId="16" fillId="0" borderId="8" xfId="0" applyFont="1" applyBorder="1" applyAlignment="1">
      <alignment horizontal="left" vertical="center" indent="1"/>
    </xf>
    <xf numFmtId="10" fontId="0" fillId="0" borderId="0" xfId="1" applyNumberFormat="1" applyFont="1"/>
    <xf numFmtId="0" fontId="16" fillId="0" borderId="9" xfId="0" applyFont="1" applyBorder="1" applyAlignment="1">
      <alignment horizontal="left" vertical="center" indent="1"/>
    </xf>
    <xf numFmtId="1" fontId="0" fillId="0" borderId="0" xfId="0" applyNumberFormat="1"/>
    <xf numFmtId="1" fontId="0" fillId="0" borderId="14" xfId="0" applyNumberFormat="1" applyBorder="1"/>
    <xf numFmtId="1" fontId="0" fillId="0" borderId="24" xfId="0" applyNumberFormat="1" applyBorder="1"/>
    <xf numFmtId="0" fontId="2" fillId="0" borderId="5" xfId="0" applyFont="1" applyBorder="1"/>
    <xf numFmtId="0" fontId="32" fillId="0" borderId="0" xfId="0" applyFont="1"/>
    <xf numFmtId="0" fontId="2" fillId="0" borderId="4" xfId="0" applyFont="1" applyBorder="1" applyAlignment="1">
      <alignment horizontal="left" vertical="center"/>
    </xf>
    <xf numFmtId="0" fontId="0" fillId="0" borderId="4" xfId="0" applyBorder="1" applyAlignment="1">
      <alignment horizontal="left" vertical="center" indent="1"/>
    </xf>
    <xf numFmtId="0" fontId="0" fillId="0" borderId="0" xfId="0" applyAlignment="1">
      <alignment wrapText="1"/>
    </xf>
    <xf numFmtId="0" fontId="2" fillId="0" borderId="9" xfId="0" applyFont="1" applyBorder="1"/>
    <xf numFmtId="0" fontId="0" fillId="0" borderId="6" xfId="0" applyBorder="1" applyAlignment="1">
      <alignment horizontal="center"/>
    </xf>
    <xf numFmtId="0" fontId="2" fillId="0" borderId="0" xfId="0" applyFont="1" applyAlignment="1">
      <alignment horizontal="left" vertical="center" indent="1"/>
    </xf>
    <xf numFmtId="0" fontId="2" fillId="0" borderId="8" xfId="0" applyFont="1" applyBorder="1"/>
    <xf numFmtId="2" fontId="0" fillId="0" borderId="13" xfId="0" applyNumberFormat="1" applyBorder="1"/>
    <xf numFmtId="166" fontId="36" fillId="26" borderId="12" xfId="1" applyNumberFormat="1" applyFont="1" applyFill="1" applyBorder="1"/>
    <xf numFmtId="0" fontId="40" fillId="0" borderId="0" xfId="0" applyFont="1"/>
    <xf numFmtId="0" fontId="37" fillId="10" borderId="0" xfId="0" applyFont="1" applyFill="1"/>
    <xf numFmtId="0" fontId="40" fillId="10" borderId="0" xfId="0" applyFont="1" applyFill="1"/>
    <xf numFmtId="48" fontId="40" fillId="0" borderId="0" xfId="3" applyNumberFormat="1" applyFont="1" applyBorder="1"/>
    <xf numFmtId="48" fontId="40" fillId="0" borderId="12" xfId="3" applyNumberFormat="1" applyFont="1" applyBorder="1"/>
    <xf numFmtId="48" fontId="41" fillId="0" borderId="0" xfId="3" applyNumberFormat="1" applyFont="1" applyBorder="1"/>
    <xf numFmtId="48" fontId="41" fillId="0" borderId="12" xfId="3" applyNumberFormat="1" applyFont="1" applyBorder="1"/>
    <xf numFmtId="48" fontId="36" fillId="26" borderId="12" xfId="1" applyNumberFormat="1" applyFont="1" applyFill="1" applyBorder="1"/>
    <xf numFmtId="9" fontId="0" fillId="0" borderId="0" xfId="1" applyFont="1"/>
    <xf numFmtId="9" fontId="0" fillId="0" borderId="0" xfId="0" applyNumberFormat="1"/>
    <xf numFmtId="48" fontId="41" fillId="0" borderId="60" xfId="3" applyNumberFormat="1" applyFont="1" applyBorder="1"/>
    <xf numFmtId="0" fontId="0" fillId="0" borderId="58" xfId="0" applyBorder="1"/>
    <xf numFmtId="48" fontId="41" fillId="27" borderId="0" xfId="3" applyNumberFormat="1" applyFont="1" applyFill="1" applyBorder="1"/>
    <xf numFmtId="0" fontId="16" fillId="0" borderId="58" xfId="0" applyFont="1" applyBorder="1"/>
    <xf numFmtId="0" fontId="16" fillId="0" borderId="59" xfId="0" applyFont="1" applyBorder="1"/>
    <xf numFmtId="48" fontId="0" fillId="0" borderId="0" xfId="0" applyNumberFormat="1"/>
    <xf numFmtId="48" fontId="37" fillId="27" borderId="0" xfId="3" applyNumberFormat="1" applyFont="1" applyFill="1" applyBorder="1"/>
    <xf numFmtId="48" fontId="2" fillId="0" borderId="0" xfId="0" applyNumberFormat="1" applyFont="1"/>
    <xf numFmtId="168" fontId="0" fillId="0" borderId="13" xfId="0" applyNumberFormat="1" applyBorder="1"/>
    <xf numFmtId="9" fontId="0" fillId="0" borderId="2" xfId="0" applyNumberFormat="1" applyBorder="1"/>
    <xf numFmtId="9" fontId="0" fillId="0" borderId="3" xfId="0" applyNumberFormat="1" applyBorder="1"/>
    <xf numFmtId="9" fontId="0" fillId="0" borderId="12" xfId="0" applyNumberFormat="1" applyBorder="1"/>
    <xf numFmtId="9" fontId="0" fillId="0" borderId="10" xfId="0" applyNumberFormat="1" applyBorder="1"/>
    <xf numFmtId="9" fontId="0" fillId="0" borderId="13" xfId="0" applyNumberFormat="1" applyBorder="1"/>
    <xf numFmtId="9" fontId="0" fillId="0" borderId="2" xfId="1" applyFont="1" applyBorder="1"/>
    <xf numFmtId="0" fontId="0" fillId="10" borderId="0" xfId="0" applyFill="1"/>
    <xf numFmtId="10" fontId="0" fillId="0" borderId="0" xfId="0" applyNumberFormat="1"/>
    <xf numFmtId="0" fontId="17" fillId="0" borderId="0" xfId="2" applyFont="1" applyFill="1"/>
    <xf numFmtId="0" fontId="0" fillId="0" borderId="2" xfId="1" applyNumberFormat="1" applyFont="1" applyBorder="1"/>
    <xf numFmtId="0" fontId="46" fillId="0" borderId="0" xfId="0" applyFont="1"/>
    <xf numFmtId="0" fontId="48" fillId="0" borderId="0" xfId="0" applyFont="1"/>
    <xf numFmtId="168" fontId="0" fillId="0" borderId="3" xfId="1" applyNumberFormat="1" applyFont="1" applyBorder="1"/>
    <xf numFmtId="0" fontId="45" fillId="0" borderId="10" xfId="0" applyFont="1" applyBorder="1"/>
    <xf numFmtId="0" fontId="45" fillId="0" borderId="2" xfId="0" applyFont="1" applyBorder="1"/>
    <xf numFmtId="2" fontId="0" fillId="0" borderId="9" xfId="0" applyNumberFormat="1" applyBorder="1"/>
    <xf numFmtId="0" fontId="2" fillId="0" borderId="11" xfId="0" applyFont="1" applyBorder="1" applyAlignment="1">
      <alignment horizontal="center" vertical="top"/>
    </xf>
    <xf numFmtId="0" fontId="2" fillId="0" borderId="0" xfId="0" applyFont="1" applyAlignment="1">
      <alignment horizontal="center" vertical="top"/>
    </xf>
    <xf numFmtId="0" fontId="50" fillId="0" borderId="4" xfId="0" applyFont="1" applyBorder="1"/>
    <xf numFmtId="0" fontId="50" fillId="0" borderId="5" xfId="0" applyFont="1" applyBorder="1"/>
    <xf numFmtId="0" fontId="50" fillId="0" borderId="6" xfId="0" applyFont="1" applyBorder="1"/>
    <xf numFmtId="0" fontId="45" fillId="0" borderId="1" xfId="0" applyFont="1" applyBorder="1"/>
    <xf numFmtId="0" fontId="45" fillId="0" borderId="3" xfId="0" applyFont="1" applyBorder="1"/>
    <xf numFmtId="0" fontId="45" fillId="0" borderId="9" xfId="0" applyFont="1" applyBorder="1"/>
    <xf numFmtId="0" fontId="45" fillId="0" borderId="13" xfId="0" applyFont="1" applyBorder="1"/>
    <xf numFmtId="0" fontId="51" fillId="30" borderId="1" xfId="0" applyFont="1" applyFill="1" applyBorder="1"/>
    <xf numFmtId="0" fontId="51" fillId="30" borderId="2" xfId="0" applyFont="1" applyFill="1" applyBorder="1"/>
    <xf numFmtId="43" fontId="0" fillId="0" borderId="1" xfId="0" applyNumberFormat="1" applyBorder="1"/>
    <xf numFmtId="43" fontId="0" fillId="0" borderId="9" xfId="0" applyNumberFormat="1" applyBorder="1"/>
    <xf numFmtId="43" fontId="0" fillId="0" borderId="10" xfId="0" applyNumberFormat="1" applyBorder="1"/>
    <xf numFmtId="43" fontId="0" fillId="0" borderId="13" xfId="0" applyNumberFormat="1" applyBorder="1"/>
    <xf numFmtId="9" fontId="0" fillId="0" borderId="1" xfId="1" applyFont="1" applyBorder="1"/>
    <xf numFmtId="9" fontId="0" fillId="0" borderId="9" xfId="0" applyNumberFormat="1" applyBorder="1"/>
    <xf numFmtId="48" fontId="37" fillId="0" borderId="0" xfId="3" applyNumberFormat="1" applyFont="1" applyBorder="1"/>
    <xf numFmtId="9" fontId="0" fillId="0" borderId="8" xfId="0" applyNumberFormat="1" applyBorder="1"/>
    <xf numFmtId="48" fontId="41" fillId="18" borderId="0" xfId="3" applyNumberFormat="1" applyFont="1" applyFill="1" applyBorder="1"/>
    <xf numFmtId="2" fontId="0" fillId="10" borderId="0" xfId="0" applyNumberFormat="1" applyFill="1"/>
    <xf numFmtId="0" fontId="16" fillId="0" borderId="8" xfId="0" applyFont="1" applyBorder="1"/>
    <xf numFmtId="0" fontId="16" fillId="0" borderId="9" xfId="0" applyFont="1" applyBorder="1"/>
    <xf numFmtId="0" fontId="13" fillId="6" borderId="1" xfId="0" applyFont="1" applyFill="1" applyBorder="1" applyAlignment="1">
      <alignment horizontal="left" vertical="center" wrapText="1"/>
    </xf>
    <xf numFmtId="0" fontId="13" fillId="6" borderId="8" xfId="0" applyFont="1" applyFill="1" applyBorder="1" applyAlignment="1">
      <alignment horizontal="left" vertical="center" wrapText="1"/>
    </xf>
    <xf numFmtId="0" fontId="0" fillId="6" borderId="70" xfId="0" applyFill="1" applyBorder="1" applyAlignment="1">
      <alignment vertical="top" wrapText="1"/>
    </xf>
    <xf numFmtId="0" fontId="12" fillId="6" borderId="12" xfId="0" applyFont="1" applyFill="1" applyBorder="1" applyAlignment="1">
      <alignment horizontal="center" vertical="center" wrapText="1"/>
    </xf>
    <xf numFmtId="0" fontId="0" fillId="6" borderId="12" xfId="0" applyFill="1" applyBorder="1" applyAlignment="1">
      <alignment vertical="center" wrapText="1"/>
    </xf>
    <xf numFmtId="0" fontId="0" fillId="6" borderId="12" xfId="0" applyFill="1" applyBorder="1" applyAlignment="1">
      <alignment vertical="top" wrapText="1"/>
    </xf>
    <xf numFmtId="9" fontId="0" fillId="10" borderId="7" xfId="1" applyFont="1" applyFill="1" applyBorder="1"/>
    <xf numFmtId="9" fontId="0" fillId="10" borderId="14" xfId="1" applyFont="1" applyFill="1" applyBorder="1"/>
    <xf numFmtId="9" fontId="0" fillId="10" borderId="24" xfId="1" applyFont="1" applyFill="1" applyBorder="1"/>
    <xf numFmtId="0" fontId="2" fillId="10" borderId="1" xfId="0" applyFont="1" applyFill="1" applyBorder="1"/>
    <xf numFmtId="3" fontId="0" fillId="10" borderId="0" xfId="0" applyNumberFormat="1" applyFill="1" applyAlignment="1">
      <alignment horizontal="center" vertical="center"/>
    </xf>
    <xf numFmtId="3" fontId="0" fillId="10" borderId="8" xfId="0" applyNumberFormat="1" applyFill="1" applyBorder="1" applyAlignment="1">
      <alignment horizontal="center" vertical="center"/>
    </xf>
    <xf numFmtId="0" fontId="2" fillId="0" borderId="0" xfId="0" applyFont="1" applyAlignment="1">
      <alignment horizontal="left" vertical="center"/>
    </xf>
    <xf numFmtId="164" fontId="0" fillId="0" borderId="0" xfId="0" applyNumberFormat="1" applyAlignment="1">
      <alignment horizontal="center"/>
    </xf>
    <xf numFmtId="0" fontId="0" fillId="0" borderId="12" xfId="0" applyBorder="1" applyAlignment="1">
      <alignment horizontal="center"/>
    </xf>
    <xf numFmtId="1" fontId="0" fillId="0" borderId="0" xfId="0" applyNumberFormat="1" applyAlignment="1">
      <alignment horizontal="center"/>
    </xf>
    <xf numFmtId="1" fontId="0" fillId="0" borderId="0" xfId="0" applyNumberFormat="1" applyAlignment="1">
      <alignment horizontal="center" vertical="center"/>
    </xf>
    <xf numFmtId="1" fontId="0" fillId="0" borderId="10" xfId="0" applyNumberFormat="1" applyBorder="1" applyAlignment="1">
      <alignment horizontal="center" vertical="center"/>
    </xf>
    <xf numFmtId="0" fontId="0" fillId="0" borderId="13" xfId="0" applyBorder="1" applyAlignment="1">
      <alignment horizontal="center"/>
    </xf>
    <xf numFmtId="164" fontId="0" fillId="0" borderId="12" xfId="0" applyNumberFormat="1" applyBorder="1" applyAlignment="1">
      <alignment horizontal="center"/>
    </xf>
    <xf numFmtId="164" fontId="0" fillId="0" borderId="13" xfId="0" applyNumberFormat="1" applyBorder="1" applyAlignment="1">
      <alignment horizontal="center"/>
    </xf>
    <xf numFmtId="164" fontId="0" fillId="0" borderId="10" xfId="0" applyNumberFormat="1" applyBorder="1" applyAlignment="1">
      <alignment horizontal="center"/>
    </xf>
    <xf numFmtId="0" fontId="36" fillId="25" borderId="1" xfId="0" applyFont="1" applyFill="1" applyBorder="1"/>
    <xf numFmtId="0" fontId="36" fillId="26" borderId="8" xfId="0" applyFont="1" applyFill="1" applyBorder="1"/>
    <xf numFmtId="0" fontId="38" fillId="0" borderId="8" xfId="0" applyFont="1" applyBorder="1"/>
    <xf numFmtId="0" fontId="47" fillId="10" borderId="0" xfId="0" applyFont="1" applyFill="1"/>
    <xf numFmtId="0" fontId="50" fillId="0" borderId="1" xfId="0" applyFont="1" applyBorder="1"/>
    <xf numFmtId="0" fontId="50" fillId="0" borderId="2" xfId="0" applyFont="1" applyBorder="1"/>
    <xf numFmtId="0" fontId="50" fillId="0" borderId="3" xfId="0" applyFont="1" applyBorder="1"/>
    <xf numFmtId="0" fontId="49" fillId="31" borderId="9" xfId="0" applyFont="1" applyFill="1" applyBorder="1"/>
    <xf numFmtId="2" fontId="49" fillId="31" borderId="8" xfId="0" applyNumberFormat="1" applyFont="1" applyFill="1" applyBorder="1"/>
    <xf numFmtId="2" fontId="49" fillId="31" borderId="9" xfId="0" applyNumberFormat="1" applyFont="1" applyFill="1" applyBorder="1"/>
    <xf numFmtId="2" fontId="49" fillId="31" borderId="10" xfId="0" applyNumberFormat="1" applyFont="1" applyFill="1" applyBorder="1"/>
    <xf numFmtId="0" fontId="49" fillId="0" borderId="1" xfId="0" applyFont="1" applyBorder="1"/>
    <xf numFmtId="0" fontId="49" fillId="0" borderId="8" xfId="0" applyFont="1" applyBorder="1"/>
    <xf numFmtId="0" fontId="49" fillId="0" borderId="4" xfId="0" applyFont="1" applyBorder="1"/>
    <xf numFmtId="0" fontId="2" fillId="0" borderId="12" xfId="0" applyFont="1" applyBorder="1" applyAlignment="1">
      <alignment horizontal="center"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vertical="top"/>
    </xf>
    <xf numFmtId="0" fontId="50" fillId="0" borderId="0" xfId="0" applyFont="1" applyAlignment="1">
      <alignment horizontal="left"/>
    </xf>
    <xf numFmtId="0" fontId="51" fillId="0" borderId="1" xfId="0" applyFont="1" applyBorder="1"/>
    <xf numFmtId="0" fontId="0" fillId="0" borderId="4" xfId="0" applyBorder="1" applyAlignment="1">
      <alignment horizontal="left"/>
    </xf>
    <xf numFmtId="9" fontId="0" fillId="0" borderId="5" xfId="0" applyNumberFormat="1" applyBorder="1"/>
    <xf numFmtId="9" fontId="0" fillId="0" borderId="5" xfId="0" applyNumberFormat="1" applyBorder="1" applyAlignment="1">
      <alignment horizontal="left"/>
    </xf>
    <xf numFmtId="0" fontId="0" fillId="0" borderId="6" xfId="0" applyBorder="1" applyAlignment="1">
      <alignment horizontal="left"/>
    </xf>
    <xf numFmtId="9" fontId="0" fillId="0" borderId="6" xfId="0" applyNumberFormat="1" applyBorder="1" applyAlignment="1">
      <alignment horizontal="center"/>
    </xf>
    <xf numFmtId="9" fontId="0" fillId="0" borderId="2" xfId="0" applyNumberFormat="1" applyBorder="1" applyAlignment="1">
      <alignment horizontal="center"/>
    </xf>
    <xf numFmtId="9" fontId="0" fillId="0" borderId="3" xfId="1" applyFont="1" applyBorder="1" applyAlignment="1">
      <alignment horizontal="center"/>
    </xf>
    <xf numFmtId="9" fontId="0" fillId="0" borderId="0" xfId="0" applyNumberFormat="1" applyAlignment="1">
      <alignment horizontal="center"/>
    </xf>
    <xf numFmtId="9" fontId="0" fillId="0" borderId="12" xfId="1" applyFont="1" applyBorder="1" applyAlignment="1">
      <alignment horizontal="center"/>
    </xf>
    <xf numFmtId="9" fontId="0" fillId="0" borderId="10" xfId="0" applyNumberFormat="1" applyBorder="1" applyAlignment="1">
      <alignment horizontal="center"/>
    </xf>
    <xf numFmtId="9" fontId="0" fillId="0" borderId="13" xfId="1" applyFont="1" applyBorder="1" applyAlignment="1">
      <alignment horizontal="center"/>
    </xf>
    <xf numFmtId="9" fontId="0" fillId="0" borderId="3" xfId="0" applyNumberFormat="1" applyBorder="1" applyAlignment="1">
      <alignment horizontal="center"/>
    </xf>
    <xf numFmtId="9" fontId="0" fillId="0" borderId="12" xfId="0" applyNumberFormat="1" applyBorder="1" applyAlignment="1">
      <alignment horizontal="center"/>
    </xf>
    <xf numFmtId="9" fontId="0" fillId="0" borderId="13" xfId="0" applyNumberFormat="1" applyBorder="1" applyAlignment="1">
      <alignment horizontal="center"/>
    </xf>
    <xf numFmtId="9" fontId="0" fillId="0" borderId="1" xfId="0" applyNumberFormat="1" applyBorder="1"/>
    <xf numFmtId="48" fontId="37" fillId="0" borderId="12" xfId="3" applyNumberFormat="1" applyFont="1" applyBorder="1"/>
    <xf numFmtId="48" fontId="41" fillId="27" borderId="12" xfId="3" applyNumberFormat="1" applyFont="1" applyFill="1" applyBorder="1"/>
    <xf numFmtId="48" fontId="41" fillId="0" borderId="75" xfId="3" applyNumberFormat="1" applyFont="1" applyBorder="1"/>
    <xf numFmtId="48" fontId="0" fillId="0" borderId="12" xfId="0" applyNumberFormat="1" applyBorder="1"/>
    <xf numFmtId="48" fontId="0" fillId="0" borderId="1" xfId="0" applyNumberFormat="1" applyBorder="1"/>
    <xf numFmtId="48" fontId="0" fillId="0" borderId="2" xfId="0" applyNumberFormat="1" applyBorder="1"/>
    <xf numFmtId="48" fontId="0" fillId="0" borderId="9" xfId="0" applyNumberFormat="1" applyBorder="1"/>
    <xf numFmtId="48" fontId="0" fillId="0" borderId="10" xfId="0" applyNumberFormat="1" applyBorder="1"/>
    <xf numFmtId="48" fontId="0" fillId="0" borderId="13" xfId="0" applyNumberFormat="1" applyBorder="1"/>
    <xf numFmtId="10" fontId="0" fillId="0" borderId="0" xfId="1" applyNumberFormat="1" applyFont="1" applyBorder="1"/>
    <xf numFmtId="0" fontId="37" fillId="27" borderId="8" xfId="0" applyFont="1" applyFill="1" applyBorder="1" applyAlignment="1">
      <alignment horizontal="left"/>
    </xf>
    <xf numFmtId="48" fontId="37" fillId="27" borderId="12" xfId="3" applyNumberFormat="1" applyFont="1" applyFill="1" applyBorder="1"/>
    <xf numFmtId="0" fontId="0" fillId="18" borderId="8" xfId="0" applyFill="1" applyBorder="1"/>
    <xf numFmtId="48" fontId="41" fillId="18" borderId="12" xfId="3" applyNumberFormat="1" applyFont="1" applyFill="1" applyBorder="1"/>
    <xf numFmtId="0" fontId="16" fillId="18" borderId="8" xfId="0" applyFont="1" applyFill="1" applyBorder="1"/>
    <xf numFmtId="0" fontId="37" fillId="27" borderId="8" xfId="0" applyFont="1" applyFill="1" applyBorder="1" applyAlignment="1">
      <alignment horizontal="right"/>
    </xf>
    <xf numFmtId="0" fontId="16" fillId="0" borderId="74" xfId="0" applyFont="1" applyBorder="1"/>
    <xf numFmtId="0" fontId="42" fillId="26" borderId="9" xfId="0" applyFont="1" applyFill="1" applyBorder="1"/>
    <xf numFmtId="48" fontId="36" fillId="26" borderId="10" xfId="0" applyNumberFormat="1" applyFont="1" applyFill="1" applyBorder="1"/>
    <xf numFmtId="48" fontId="36" fillId="26" borderId="13" xfId="0" applyNumberFormat="1" applyFont="1" applyFill="1" applyBorder="1"/>
    <xf numFmtId="0" fontId="53" fillId="0" borderId="0" xfId="0" applyFont="1" applyAlignment="1">
      <alignment horizontal="left" vertical="center"/>
    </xf>
    <xf numFmtId="0" fontId="38" fillId="0" borderId="9" xfId="0" applyFont="1" applyBorder="1"/>
    <xf numFmtId="0" fontId="38" fillId="10" borderId="9" xfId="0" applyFont="1" applyFill="1" applyBorder="1"/>
    <xf numFmtId="0" fontId="7" fillId="0" borderId="0" xfId="0" applyFont="1"/>
    <xf numFmtId="0" fontId="7" fillId="0" borderId="0" xfId="0" applyFont="1" applyAlignment="1">
      <alignment vertical="center"/>
    </xf>
    <xf numFmtId="0" fontId="2" fillId="0" borderId="0" xfId="0" applyFont="1" applyAlignment="1">
      <alignment horizontal="center" vertical="center"/>
    </xf>
    <xf numFmtId="0" fontId="43" fillId="0" borderId="0" xfId="0" applyFont="1"/>
    <xf numFmtId="0" fontId="52" fillId="0" borderId="0" xfId="0" applyFont="1" applyAlignment="1">
      <alignment horizontal="left" vertical="center"/>
    </xf>
    <xf numFmtId="1" fontId="0" fillId="0" borderId="9" xfId="0" applyNumberFormat="1" applyBorder="1" applyAlignment="1">
      <alignment horizontal="right" vertical="center" indent="1"/>
    </xf>
    <xf numFmtId="0" fontId="0" fillId="0" borderId="3" xfId="0" applyBorder="1" applyAlignment="1">
      <alignment horizontal="center"/>
    </xf>
    <xf numFmtId="0" fontId="0" fillId="0" borderId="8" xfId="0" applyBorder="1" applyAlignment="1">
      <alignment horizontal="center"/>
    </xf>
    <xf numFmtId="9" fontId="0" fillId="0" borderId="9" xfId="1" applyFont="1" applyBorder="1" applyAlignment="1">
      <alignment horizontal="center"/>
    </xf>
    <xf numFmtId="0" fontId="0" fillId="10" borderId="0" xfId="0" applyFill="1" applyAlignment="1">
      <alignment horizontal="center" vertical="center"/>
    </xf>
    <xf numFmtId="170" fontId="0" fillId="16" borderId="4" xfId="0" applyNumberFormat="1" applyFill="1" applyBorder="1"/>
    <xf numFmtId="170" fontId="0" fillId="16" borderId="5" xfId="0" applyNumberFormat="1" applyFill="1" applyBorder="1"/>
    <xf numFmtId="170" fontId="0" fillId="16" borderId="6" xfId="0" applyNumberFormat="1" applyFill="1" applyBorder="1"/>
    <xf numFmtId="0" fontId="0" fillId="10" borderId="3" xfId="0" applyFill="1" applyBorder="1"/>
    <xf numFmtId="0" fontId="0" fillId="10" borderId="12" xfId="0" applyFill="1" applyBorder="1"/>
    <xf numFmtId="0" fontId="0" fillId="10" borderId="2" xfId="0" applyFill="1" applyBorder="1"/>
    <xf numFmtId="9" fontId="0" fillId="0" borderId="24" xfId="1" applyFont="1" applyBorder="1"/>
    <xf numFmtId="0" fontId="8" fillId="5" borderId="0" xfId="0" applyFont="1" applyFill="1"/>
    <xf numFmtId="0" fontId="17" fillId="9" borderId="0" xfId="0" applyFont="1" applyFill="1"/>
    <xf numFmtId="0" fontId="47" fillId="0" borderId="0" xfId="0" applyFont="1"/>
    <xf numFmtId="0" fontId="38" fillId="0" borderId="0" xfId="0" applyFont="1"/>
    <xf numFmtId="0" fontId="37" fillId="0" borderId="0" xfId="0" applyFont="1"/>
    <xf numFmtId="0" fontId="36" fillId="26" borderId="0" xfId="0" applyFont="1" applyFill="1"/>
    <xf numFmtId="48" fontId="36" fillId="26" borderId="0" xfId="0" applyNumberFormat="1" applyFont="1" applyFill="1"/>
    <xf numFmtId="0" fontId="0" fillId="14" borderId="0" xfId="0" applyFill="1" applyAlignment="1">
      <alignment horizontal="center" vertical="center"/>
    </xf>
    <xf numFmtId="48" fontId="36" fillId="0" borderId="0" xfId="1" applyNumberFormat="1" applyFont="1" applyFill="1" applyBorder="1"/>
    <xf numFmtId="0" fontId="50" fillId="0" borderId="0" xfId="0" applyFont="1"/>
    <xf numFmtId="0" fontId="38" fillId="26" borderId="8" xfId="0" applyFont="1" applyFill="1" applyBorder="1"/>
    <xf numFmtId="0" fontId="38" fillId="28" borderId="9" xfId="0" applyFont="1" applyFill="1" applyBorder="1"/>
    <xf numFmtId="0" fontId="38" fillId="0" borderId="1" xfId="0" applyFont="1" applyBorder="1"/>
    <xf numFmtId="0" fontId="17" fillId="0" borderId="2" xfId="0" applyFont="1" applyBorder="1"/>
    <xf numFmtId="0" fontId="17" fillId="0" borderId="3" xfId="0" applyFont="1" applyBorder="1"/>
    <xf numFmtId="0" fontId="54" fillId="0" borderId="8" xfId="0" applyFont="1" applyBorder="1" applyAlignment="1">
      <alignment horizontal="right"/>
    </xf>
    <xf numFmtId="0" fontId="17" fillId="0" borderId="10" xfId="0" applyFont="1" applyBorder="1"/>
    <xf numFmtId="0" fontId="17" fillId="0" borderId="13" xfId="0" applyFont="1" applyBorder="1"/>
    <xf numFmtId="48" fontId="38" fillId="28" borderId="10" xfId="0" applyNumberFormat="1" applyFont="1" applyFill="1" applyBorder="1"/>
    <xf numFmtId="48" fontId="54" fillId="0" borderId="0" xfId="3" applyNumberFormat="1" applyFont="1" applyFill="1" applyBorder="1"/>
    <xf numFmtId="48" fontId="54" fillId="0" borderId="12" xfId="3" applyNumberFormat="1" applyFont="1" applyFill="1" applyBorder="1"/>
    <xf numFmtId="48" fontId="38" fillId="0" borderId="0" xfId="0" applyNumberFormat="1" applyFont="1"/>
    <xf numFmtId="48" fontId="38" fillId="0" borderId="12" xfId="1" applyNumberFormat="1" applyFont="1" applyFill="1" applyBorder="1"/>
    <xf numFmtId="48" fontId="39" fillId="0" borderId="0" xfId="3" applyNumberFormat="1" applyFont="1" applyFill="1" applyBorder="1"/>
    <xf numFmtId="48" fontId="39" fillId="0" borderId="12" xfId="3" applyNumberFormat="1" applyFont="1" applyFill="1" applyBorder="1"/>
    <xf numFmtId="48" fontId="38" fillId="0" borderId="10" xfId="0" applyNumberFormat="1" applyFont="1" applyBorder="1"/>
    <xf numFmtId="48" fontId="38" fillId="0" borderId="13" xfId="0" applyNumberFormat="1" applyFont="1" applyBorder="1"/>
    <xf numFmtId="0" fontId="38" fillId="0" borderId="2" xfId="0" applyFont="1" applyBorder="1"/>
    <xf numFmtId="166" fontId="38" fillId="0" borderId="3" xfId="1" applyNumberFormat="1" applyFont="1" applyFill="1" applyBorder="1"/>
    <xf numFmtId="48" fontId="54" fillId="0" borderId="8" xfId="3" applyNumberFormat="1" applyFont="1" applyFill="1" applyBorder="1"/>
    <xf numFmtId="48" fontId="39" fillId="0" borderId="8" xfId="3" applyNumberFormat="1" applyFont="1" applyFill="1" applyBorder="1"/>
    <xf numFmtId="48" fontId="38" fillId="0" borderId="9" xfId="0" applyNumberFormat="1" applyFont="1" applyBorder="1"/>
    <xf numFmtId="0" fontId="28" fillId="0" borderId="8" xfId="0" applyFont="1" applyBorder="1" applyAlignment="1">
      <alignment horizontal="right"/>
    </xf>
    <xf numFmtId="48" fontId="37" fillId="0" borderId="0" xfId="3" applyNumberFormat="1" applyFont="1" applyFill="1" applyBorder="1"/>
    <xf numFmtId="0" fontId="17" fillId="5" borderId="8" xfId="0" applyFont="1" applyFill="1" applyBorder="1"/>
    <xf numFmtId="0" fontId="54" fillId="27" borderId="8" xfId="0" applyFont="1" applyFill="1" applyBorder="1" applyAlignment="1">
      <alignment horizontal="right"/>
    </xf>
    <xf numFmtId="9" fontId="17" fillId="0" borderId="0" xfId="0" applyNumberFormat="1" applyFont="1"/>
    <xf numFmtId="2" fontId="17" fillId="0" borderId="0" xfId="0" applyNumberFormat="1" applyFont="1"/>
    <xf numFmtId="0" fontId="2" fillId="0" borderId="2" xfId="0" applyFont="1" applyBorder="1"/>
    <xf numFmtId="0" fontId="2" fillId="0" borderId="3" xfId="0" applyFont="1" applyBorder="1"/>
    <xf numFmtId="9" fontId="0" fillId="0" borderId="6" xfId="1" applyFont="1" applyBorder="1"/>
    <xf numFmtId="0" fontId="36" fillId="26" borderId="1" xfId="0" applyFont="1" applyFill="1" applyBorder="1"/>
    <xf numFmtId="0" fontId="36" fillId="26" borderId="2" xfId="0" applyFont="1" applyFill="1" applyBorder="1"/>
    <xf numFmtId="48" fontId="41" fillId="27" borderId="8" xfId="3" applyNumberFormat="1" applyFont="1" applyFill="1" applyBorder="1"/>
    <xf numFmtId="48" fontId="41" fillId="0" borderId="8" xfId="3" applyNumberFormat="1" applyFont="1" applyBorder="1"/>
    <xf numFmtId="48" fontId="40" fillId="0" borderId="8" xfId="3" applyNumberFormat="1" applyFont="1" applyBorder="1"/>
    <xf numFmtId="48" fontId="37" fillId="0" borderId="8" xfId="3" applyNumberFormat="1" applyFont="1" applyBorder="1"/>
    <xf numFmtId="48" fontId="0" fillId="0" borderId="8" xfId="0" applyNumberFormat="1" applyBorder="1"/>
    <xf numFmtId="48" fontId="36" fillId="0" borderId="0" xfId="0" applyNumberFormat="1" applyFont="1"/>
    <xf numFmtId="0" fontId="39" fillId="0" borderId="1" xfId="0" applyFont="1" applyBorder="1"/>
    <xf numFmtId="9" fontId="17" fillId="0" borderId="2" xfId="0" applyNumberFormat="1" applyFont="1" applyBorder="1"/>
    <xf numFmtId="0" fontId="38" fillId="28" borderId="8" xfId="0" applyFont="1" applyFill="1" applyBorder="1"/>
    <xf numFmtId="9" fontId="17" fillId="0" borderId="10" xfId="0" applyNumberFormat="1" applyFont="1" applyBorder="1"/>
    <xf numFmtId="0" fontId="36" fillId="26" borderId="12" xfId="0" applyFont="1" applyFill="1" applyBorder="1"/>
    <xf numFmtId="48" fontId="36" fillId="28" borderId="8" xfId="0" applyNumberFormat="1" applyFont="1" applyFill="1" applyBorder="1"/>
    <xf numFmtId="48" fontId="38" fillId="28" borderId="9" xfId="0" applyNumberFormat="1" applyFont="1" applyFill="1" applyBorder="1"/>
    <xf numFmtId="167" fontId="37" fillId="27" borderId="0" xfId="3" applyNumberFormat="1" applyFont="1" applyFill="1" applyBorder="1"/>
    <xf numFmtId="167" fontId="37" fillId="27" borderId="8" xfId="3" applyNumberFormat="1" applyFont="1" applyFill="1" applyBorder="1"/>
    <xf numFmtId="167" fontId="37" fillId="27" borderId="12" xfId="3" applyNumberFormat="1" applyFont="1" applyFill="1" applyBorder="1"/>
    <xf numFmtId="48" fontId="41" fillId="18" borderId="8" xfId="3" applyNumberFormat="1" applyFont="1" applyFill="1" applyBorder="1"/>
    <xf numFmtId="48" fontId="36" fillId="26" borderId="8" xfId="0" applyNumberFormat="1" applyFont="1" applyFill="1" applyBorder="1"/>
    <xf numFmtId="48" fontId="37" fillId="27" borderId="8" xfId="3" applyNumberFormat="1" applyFont="1" applyFill="1" applyBorder="1"/>
    <xf numFmtId="48" fontId="41" fillId="0" borderId="74" xfId="3" applyNumberFormat="1" applyFont="1" applyBorder="1"/>
    <xf numFmtId="48" fontId="36" fillId="26" borderId="9" xfId="0" applyNumberFormat="1" applyFont="1" applyFill="1" applyBorder="1"/>
    <xf numFmtId="0" fontId="55" fillId="0" borderId="0" xfId="0" applyFont="1" applyAlignment="1">
      <alignment horizontal="left" vertical="center"/>
    </xf>
    <xf numFmtId="0" fontId="53" fillId="0" borderId="8" xfId="0" applyFont="1" applyBorder="1" applyAlignment="1">
      <alignment horizontal="left" vertical="center"/>
    </xf>
    <xf numFmtId="0" fontId="53" fillId="0" borderId="9" xfId="0" applyFont="1" applyBorder="1" applyAlignment="1">
      <alignment horizontal="left" vertical="center"/>
    </xf>
    <xf numFmtId="0" fontId="52" fillId="0" borderId="4" xfId="0" applyFont="1" applyBorder="1" applyAlignment="1">
      <alignment horizontal="left" vertical="center"/>
    </xf>
    <xf numFmtId="0" fontId="57" fillId="32" borderId="4" xfId="0" applyFont="1" applyFill="1" applyBorder="1" applyAlignment="1">
      <alignment vertical="center"/>
    </xf>
    <xf numFmtId="0" fontId="0" fillId="32" borderId="5" xfId="0" applyFill="1" applyBorder="1" applyAlignment="1">
      <alignment vertical="center"/>
    </xf>
    <xf numFmtId="0" fontId="0" fillId="32" borderId="6" xfId="0" applyFill="1" applyBorder="1" applyAlignment="1">
      <alignment vertical="center"/>
    </xf>
    <xf numFmtId="0" fontId="2" fillId="0" borderId="11" xfId="0" applyFont="1" applyBorder="1" applyAlignment="1">
      <alignment horizontal="center" vertical="center"/>
    </xf>
    <xf numFmtId="2" fontId="1" fillId="0" borderId="2" xfId="0" applyNumberFormat="1" applyFont="1" applyBorder="1" applyAlignment="1">
      <alignment vertical="center"/>
    </xf>
    <xf numFmtId="2" fontId="0" fillId="0" borderId="7" xfId="0" applyNumberFormat="1" applyBorder="1" applyAlignment="1">
      <alignment horizontal="center" vertical="center"/>
    </xf>
    <xf numFmtId="0" fontId="1" fillId="0" borderId="0" xfId="0" applyFont="1" applyAlignment="1">
      <alignment vertical="center"/>
    </xf>
    <xf numFmtId="2" fontId="0" fillId="0" borderId="14" xfId="0" applyNumberFormat="1" applyBorder="1" applyAlignment="1">
      <alignment horizontal="center" vertical="center"/>
    </xf>
    <xf numFmtId="0" fontId="1" fillId="0" borderId="5" xfId="0" applyFont="1" applyBorder="1" applyAlignment="1">
      <alignment vertical="center"/>
    </xf>
    <xf numFmtId="2" fontId="2" fillId="0" borderId="11" xfId="0" applyNumberFormat="1" applyFont="1" applyBorder="1" applyAlignment="1">
      <alignment horizontal="center" vertical="center"/>
    </xf>
    <xf numFmtId="0" fontId="57" fillId="33" borderId="4" xfId="0" applyFont="1" applyFill="1" applyBorder="1" applyAlignment="1">
      <alignment vertical="center"/>
    </xf>
    <xf numFmtId="0" fontId="0" fillId="33" borderId="5" xfId="0" applyFill="1" applyBorder="1" applyAlignment="1">
      <alignment vertical="center"/>
    </xf>
    <xf numFmtId="0" fontId="0" fillId="33" borderId="6" xfId="0" applyFill="1" applyBorder="1" applyAlignment="1">
      <alignment vertical="center"/>
    </xf>
    <xf numFmtId="0" fontId="2" fillId="9" borderId="8" xfId="0" applyFont="1" applyFill="1" applyBorder="1" applyAlignment="1">
      <alignment vertical="center"/>
    </xf>
    <xf numFmtId="0" fontId="58" fillId="34" borderId="4" xfId="0" applyFont="1" applyFill="1" applyBorder="1" applyAlignment="1">
      <alignment vertical="center"/>
    </xf>
    <xf numFmtId="0" fontId="56" fillId="34" borderId="5" xfId="0" applyFont="1" applyFill="1" applyBorder="1" applyAlignment="1">
      <alignment vertical="center"/>
    </xf>
    <xf numFmtId="0" fontId="56" fillId="34" borderId="6" xfId="0" applyFont="1" applyFill="1" applyBorder="1" applyAlignment="1">
      <alignment vertical="center"/>
    </xf>
    <xf numFmtId="0" fontId="58" fillId="35" borderId="4" xfId="0" applyFont="1" applyFill="1" applyBorder="1" applyAlignment="1">
      <alignment vertical="center"/>
    </xf>
    <xf numFmtId="0" fontId="56" fillId="35" borderId="5" xfId="0" applyFont="1" applyFill="1" applyBorder="1" applyAlignment="1">
      <alignment vertical="center"/>
    </xf>
    <xf numFmtId="0" fontId="56" fillId="35" borderId="6" xfId="0" applyFont="1" applyFill="1" applyBorder="1" applyAlignment="1">
      <alignment vertical="center"/>
    </xf>
    <xf numFmtId="0" fontId="1" fillId="0" borderId="10" xfId="0" applyFont="1" applyBorder="1" applyAlignment="1">
      <alignment vertical="center"/>
    </xf>
    <xf numFmtId="0" fontId="8" fillId="0" borderId="4" xfId="4" applyFont="1" applyBorder="1" applyAlignment="1" applyProtection="1">
      <alignment vertical="center"/>
      <protection locked="0"/>
    </xf>
    <xf numFmtId="0" fontId="8" fillId="0" borderId="5" xfId="4" applyFont="1" applyBorder="1" applyAlignment="1" applyProtection="1">
      <alignment vertical="center"/>
      <protection locked="0"/>
    </xf>
    <xf numFmtId="0" fontId="17" fillId="0" borderId="11" xfId="4" applyFont="1" applyBorder="1" applyAlignment="1" applyProtection="1">
      <alignment horizontal="center" vertical="center"/>
      <protection locked="0"/>
    </xf>
    <xf numFmtId="0" fontId="17" fillId="0" borderId="1" xfId="4" applyFont="1" applyBorder="1" applyAlignment="1" applyProtection="1">
      <alignment vertical="center"/>
      <protection locked="0"/>
    </xf>
    <xf numFmtId="0" fontId="17" fillId="0" borderId="2" xfId="4" applyFont="1" applyBorder="1" applyAlignment="1" applyProtection="1">
      <alignment vertical="center"/>
      <protection locked="0"/>
    </xf>
    <xf numFmtId="4" fontId="17" fillId="17" borderId="7" xfId="4" applyNumberFormat="1" applyFont="1" applyFill="1" applyBorder="1" applyAlignment="1" applyProtection="1">
      <alignment horizontal="center" vertical="center"/>
      <protection locked="0"/>
    </xf>
    <xf numFmtId="0" fontId="17" fillId="0" borderId="8" xfId="4" applyFont="1" applyBorder="1" applyAlignment="1" applyProtection="1">
      <alignment vertical="center"/>
      <protection locked="0"/>
    </xf>
    <xf numFmtId="0" fontId="17" fillId="0" borderId="0" xfId="4" applyFont="1" applyAlignment="1" applyProtection="1">
      <alignment vertical="center"/>
      <protection locked="0"/>
    </xf>
    <xf numFmtId="4" fontId="17" fillId="0" borderId="14" xfId="4" applyNumberFormat="1" applyFont="1" applyBorder="1" applyAlignment="1" applyProtection="1">
      <alignment horizontal="center" vertical="center"/>
      <protection locked="0"/>
    </xf>
    <xf numFmtId="0" fontId="17" fillId="0" borderId="9" xfId="4" applyFont="1" applyBorder="1" applyAlignment="1" applyProtection="1">
      <alignment vertical="center"/>
      <protection locked="0"/>
    </xf>
    <xf numFmtId="0" fontId="17" fillId="0" borderId="10" xfId="4" applyFont="1" applyBorder="1" applyAlignment="1" applyProtection="1">
      <alignment vertical="center"/>
      <protection locked="0"/>
    </xf>
    <xf numFmtId="4" fontId="17" fillId="17" borderId="24" xfId="4" applyNumberFormat="1" applyFont="1" applyFill="1" applyBorder="1" applyAlignment="1" applyProtection="1">
      <alignment horizontal="center" vertical="center"/>
      <protection locked="0"/>
    </xf>
    <xf numFmtId="0" fontId="17" fillId="0" borderId="4" xfId="4" applyFont="1" applyBorder="1" applyAlignment="1" applyProtection="1">
      <alignment vertical="center"/>
      <protection locked="0"/>
    </xf>
    <xf numFmtId="0" fontId="58" fillId="19" borderId="4" xfId="0" applyFont="1" applyFill="1" applyBorder="1" applyAlignment="1">
      <alignment vertical="center"/>
    </xf>
    <xf numFmtId="0" fontId="56" fillId="19" borderId="5" xfId="0" applyFont="1" applyFill="1" applyBorder="1" applyAlignment="1">
      <alignment vertical="center"/>
    </xf>
    <xf numFmtId="0" fontId="56" fillId="19" borderId="6" xfId="0" applyFont="1" applyFill="1" applyBorder="1" applyAlignment="1">
      <alignment vertical="center"/>
    </xf>
    <xf numFmtId="48" fontId="41" fillId="10" borderId="8" xfId="3" applyNumberFormat="1" applyFont="1" applyFill="1" applyBorder="1"/>
    <xf numFmtId="48" fontId="41" fillId="10" borderId="0" xfId="3" applyNumberFormat="1" applyFont="1" applyFill="1" applyBorder="1"/>
    <xf numFmtId="0" fontId="8" fillId="0" borderId="1" xfId="4" applyFont="1" applyBorder="1" applyAlignment="1" applyProtection="1">
      <alignment vertical="center"/>
      <protection locked="0"/>
    </xf>
    <xf numFmtId="0" fontId="8" fillId="0" borderId="2" xfId="4" applyFont="1" applyBorder="1" applyAlignment="1" applyProtection="1">
      <alignment vertical="center"/>
      <protection locked="0"/>
    </xf>
    <xf numFmtId="0" fontId="57" fillId="9" borderId="4" xfId="0" applyFont="1" applyFill="1" applyBorder="1" applyAlignment="1">
      <alignment vertical="center"/>
    </xf>
    <xf numFmtId="0" fontId="0" fillId="9" borderId="5" xfId="0" applyFill="1" applyBorder="1" applyAlignment="1">
      <alignment vertical="center"/>
    </xf>
    <xf numFmtId="0" fontId="0" fillId="9" borderId="6" xfId="0" applyFill="1" applyBorder="1" applyAlignment="1">
      <alignment vertical="center"/>
    </xf>
    <xf numFmtId="2" fontId="0" fillId="17" borderId="7" xfId="0" applyNumberFormat="1" applyFill="1" applyBorder="1" applyAlignment="1">
      <alignment horizontal="center" vertical="center"/>
    </xf>
    <xf numFmtId="9" fontId="17" fillId="10" borderId="10" xfId="0" applyNumberFormat="1" applyFont="1" applyFill="1" applyBorder="1"/>
    <xf numFmtId="0" fontId="17" fillId="10" borderId="10" xfId="0" applyFont="1" applyFill="1" applyBorder="1"/>
    <xf numFmtId="48" fontId="38" fillId="10" borderId="9" xfId="0" applyNumberFormat="1" applyFont="1" applyFill="1" applyBorder="1"/>
    <xf numFmtId="48" fontId="38" fillId="10" borderId="10" xfId="0" applyNumberFormat="1" applyFont="1" applyFill="1" applyBorder="1"/>
    <xf numFmtId="48" fontId="36" fillId="10" borderId="1" xfId="0" applyNumberFormat="1" applyFont="1" applyFill="1" applyBorder="1"/>
    <xf numFmtId="48" fontId="36" fillId="10" borderId="2" xfId="0" applyNumberFormat="1" applyFont="1" applyFill="1" applyBorder="1"/>
    <xf numFmtId="48" fontId="36" fillId="10" borderId="3" xfId="0" applyNumberFormat="1" applyFont="1" applyFill="1" applyBorder="1"/>
    <xf numFmtId="0" fontId="54" fillId="27" borderId="1" xfId="0" applyFont="1" applyFill="1" applyBorder="1" applyAlignment="1">
      <alignment horizontal="right"/>
    </xf>
    <xf numFmtId="48" fontId="39" fillId="10" borderId="8" xfId="0" applyNumberFormat="1" applyFont="1" applyFill="1" applyBorder="1"/>
    <xf numFmtId="48" fontId="39" fillId="10" borderId="14" xfId="0" applyNumberFormat="1" applyFont="1" applyFill="1" applyBorder="1"/>
    <xf numFmtId="0" fontId="42" fillId="26" borderId="8" xfId="0" applyFont="1" applyFill="1" applyBorder="1"/>
    <xf numFmtId="0" fontId="37" fillId="27" borderId="1" xfId="0" applyFont="1" applyFill="1" applyBorder="1" applyAlignment="1">
      <alignment horizontal="right"/>
    </xf>
    <xf numFmtId="48" fontId="0" fillId="0" borderId="14" xfId="0" applyNumberFormat="1" applyBorder="1"/>
    <xf numFmtId="48" fontId="0" fillId="0" borderId="24" xfId="0" applyNumberFormat="1" applyBorder="1"/>
    <xf numFmtId="48" fontId="39" fillId="10" borderId="9" xfId="0" applyNumberFormat="1" applyFont="1" applyFill="1" applyBorder="1"/>
    <xf numFmtId="48" fontId="39" fillId="10" borderId="24" xfId="0" applyNumberFormat="1" applyFont="1" applyFill="1" applyBorder="1"/>
    <xf numFmtId="0" fontId="17" fillId="24" borderId="0" xfId="0" applyFont="1" applyFill="1"/>
    <xf numFmtId="9" fontId="17" fillId="24" borderId="0" xfId="0" applyNumberFormat="1" applyFont="1" applyFill="1"/>
    <xf numFmtId="48" fontId="41" fillId="24" borderId="0" xfId="3" applyNumberFormat="1" applyFont="1" applyFill="1" applyBorder="1"/>
    <xf numFmtId="0" fontId="0" fillId="24" borderId="4" xfId="0" applyFill="1" applyBorder="1"/>
    <xf numFmtId="0" fontId="0" fillId="24" borderId="11" xfId="0" applyFill="1" applyBorder="1"/>
    <xf numFmtId="48" fontId="0" fillId="27" borderId="14" xfId="0" applyNumberFormat="1" applyFill="1" applyBorder="1"/>
    <xf numFmtId="48" fontId="0" fillId="27" borderId="24" xfId="0" applyNumberFormat="1" applyFill="1" applyBorder="1"/>
    <xf numFmtId="48" fontId="17" fillId="27" borderId="7" xfId="0" applyNumberFormat="1" applyFont="1" applyFill="1" applyBorder="1"/>
    <xf numFmtId="48" fontId="17" fillId="27" borderId="14" xfId="0" applyNumberFormat="1" applyFont="1" applyFill="1" applyBorder="1"/>
    <xf numFmtId="9" fontId="0" fillId="27" borderId="14" xfId="1" applyFont="1" applyFill="1" applyBorder="1"/>
    <xf numFmtId="9" fontId="0" fillId="27" borderId="7" xfId="1" applyFont="1" applyFill="1" applyBorder="1"/>
    <xf numFmtId="0" fontId="0" fillId="24" borderId="7" xfId="0" applyFill="1" applyBorder="1"/>
    <xf numFmtId="9" fontId="0" fillId="27" borderId="24" xfId="1" applyFont="1" applyFill="1" applyBorder="1"/>
    <xf numFmtId="48" fontId="17" fillId="10" borderId="7" xfId="0" applyNumberFormat="1" applyFont="1" applyFill="1" applyBorder="1"/>
    <xf numFmtId="48" fontId="0" fillId="10" borderId="14" xfId="0" applyNumberFormat="1" applyFill="1" applyBorder="1"/>
    <xf numFmtId="48" fontId="0" fillId="10" borderId="7" xfId="0" applyNumberFormat="1" applyFill="1" applyBorder="1"/>
    <xf numFmtId="48" fontId="17" fillId="10" borderId="14" xfId="0" applyNumberFormat="1" applyFont="1" applyFill="1" applyBorder="1"/>
    <xf numFmtId="0" fontId="17" fillId="10" borderId="14" xfId="0" applyFont="1" applyFill="1" applyBorder="1"/>
    <xf numFmtId="48" fontId="0" fillId="10" borderId="24" xfId="0" applyNumberFormat="1" applyFill="1" applyBorder="1"/>
    <xf numFmtId="0" fontId="0" fillId="27" borderId="14" xfId="0" applyFill="1" applyBorder="1"/>
    <xf numFmtId="48" fontId="0" fillId="27" borderId="7" xfId="0" applyNumberFormat="1" applyFill="1" applyBorder="1"/>
    <xf numFmtId="0" fontId="0" fillId="20" borderId="6" xfId="0" applyFill="1" applyBorder="1" applyAlignment="1">
      <alignment horizontal="center" vertical="center"/>
    </xf>
    <xf numFmtId="14" fontId="0" fillId="10" borderId="0" xfId="0" applyNumberFormat="1" applyFill="1" applyAlignment="1">
      <alignment horizontal="left"/>
    </xf>
    <xf numFmtId="0" fontId="0" fillId="20" borderId="3" xfId="0" applyFill="1" applyBorder="1" applyAlignment="1">
      <alignment horizontal="center" vertical="center"/>
    </xf>
    <xf numFmtId="3" fontId="0" fillId="20" borderId="12" xfId="0" applyNumberFormat="1" applyFill="1" applyBorder="1" applyAlignment="1">
      <alignment horizontal="center" vertical="center"/>
    </xf>
    <xf numFmtId="3" fontId="0" fillId="20" borderId="13" xfId="0" applyNumberFormat="1" applyFill="1" applyBorder="1" applyAlignment="1">
      <alignment horizontal="center" vertical="center"/>
    </xf>
    <xf numFmtId="3" fontId="0" fillId="20" borderId="3" xfId="0" applyNumberFormat="1" applyFill="1" applyBorder="1" applyAlignment="1">
      <alignment horizontal="center" vertical="center"/>
    </xf>
    <xf numFmtId="2" fontId="0" fillId="0" borderId="0" xfId="0" applyNumberFormat="1" applyAlignment="1">
      <alignment horizontal="center"/>
    </xf>
    <xf numFmtId="2" fontId="0" fillId="0" borderId="9" xfId="0" applyNumberFormat="1" applyBorder="1" applyAlignment="1">
      <alignment horizontal="center"/>
    </xf>
    <xf numFmtId="2" fontId="0" fillId="0" borderId="1" xfId="0" applyNumberFormat="1" applyBorder="1" applyAlignment="1">
      <alignment horizontal="center" vertical="center"/>
    </xf>
    <xf numFmtId="2" fontId="0" fillId="0" borderId="8" xfId="0" applyNumberFormat="1" applyBorder="1" applyAlignment="1">
      <alignment horizontal="center" vertical="center"/>
    </xf>
    <xf numFmtId="2" fontId="0" fillId="0" borderId="0" xfId="0" applyNumberFormat="1" applyAlignment="1">
      <alignment horizontal="center" vertical="center"/>
    </xf>
    <xf numFmtId="2" fontId="0" fillId="0" borderId="9" xfId="0" applyNumberFormat="1" applyBorder="1" applyAlignment="1">
      <alignment horizontal="center" vertical="center"/>
    </xf>
    <xf numFmtId="9" fontId="0" fillId="0" borderId="10" xfId="1" applyFont="1" applyFill="1" applyBorder="1" applyAlignment="1">
      <alignment horizontal="center" vertical="center"/>
    </xf>
    <xf numFmtId="164" fontId="0" fillId="0" borderId="2" xfId="0" applyNumberFormat="1" applyBorder="1" applyAlignment="1">
      <alignment horizontal="center"/>
    </xf>
    <xf numFmtId="164" fontId="0" fillId="0" borderId="1" xfId="0" applyNumberFormat="1" applyBorder="1" applyAlignment="1">
      <alignment horizontal="center" vertical="center"/>
    </xf>
    <xf numFmtId="164" fontId="0" fillId="0" borderId="8" xfId="0" applyNumberFormat="1" applyBorder="1" applyAlignment="1">
      <alignment horizontal="center" vertical="center"/>
    </xf>
    <xf numFmtId="164" fontId="0" fillId="0" borderId="9" xfId="0" applyNumberFormat="1" applyBorder="1" applyAlignment="1">
      <alignment horizontal="center" vertical="center"/>
    </xf>
    <xf numFmtId="164" fontId="0" fillId="0" borderId="10" xfId="0" applyNumberFormat="1" applyBorder="1" applyAlignment="1">
      <alignment horizontal="center" vertical="center"/>
    </xf>
    <xf numFmtId="1" fontId="0" fillId="0" borderId="12" xfId="0" applyNumberFormat="1" applyBorder="1" applyAlignment="1">
      <alignment horizontal="center"/>
    </xf>
    <xf numFmtId="1" fontId="0" fillId="0" borderId="10" xfId="0" applyNumberFormat="1" applyBorder="1" applyAlignment="1">
      <alignment horizontal="center"/>
    </xf>
    <xf numFmtId="1" fontId="0" fillId="0" borderId="13" xfId="0" applyNumberFormat="1" applyBorder="1" applyAlignment="1">
      <alignment horizontal="center"/>
    </xf>
    <xf numFmtId="1" fontId="0" fillId="0" borderId="2" xfId="0" applyNumberFormat="1" applyBorder="1" applyAlignment="1">
      <alignment horizontal="center"/>
    </xf>
    <xf numFmtId="1" fontId="0" fillId="0" borderId="3" xfId="0" applyNumberFormat="1" applyBorder="1" applyAlignment="1">
      <alignment horizontal="center"/>
    </xf>
    <xf numFmtId="164" fontId="0" fillId="0" borderId="3" xfId="0" applyNumberFormat="1" applyBorder="1" applyAlignment="1">
      <alignment horizontal="center"/>
    </xf>
    <xf numFmtId="1" fontId="0" fillId="0" borderId="1" xfId="0" applyNumberFormat="1" applyBorder="1" applyAlignment="1">
      <alignment horizontal="center"/>
    </xf>
    <xf numFmtId="1" fontId="0" fillId="0" borderId="8" xfId="0" applyNumberFormat="1" applyBorder="1" applyAlignment="1">
      <alignment horizontal="center"/>
    </xf>
    <xf numFmtId="1" fontId="0" fillId="0" borderId="9" xfId="0" applyNumberFormat="1" applyBorder="1" applyAlignment="1">
      <alignment horizontal="center"/>
    </xf>
    <xf numFmtId="2" fontId="0" fillId="0" borderId="24" xfId="0" applyNumberFormat="1" applyBorder="1"/>
    <xf numFmtId="1" fontId="0" fillId="0" borderId="8" xfId="0" applyNumberFormat="1" applyBorder="1" applyAlignment="1">
      <alignment horizontal="center" vertical="center"/>
    </xf>
    <xf numFmtId="1" fontId="0" fillId="0" borderId="0" xfId="1" applyNumberFormat="1" applyFont="1" applyFill="1" applyBorder="1" applyAlignment="1">
      <alignment horizontal="center" vertical="center"/>
    </xf>
    <xf numFmtId="1" fontId="0" fillId="0" borderId="9" xfId="0" applyNumberFormat="1" applyBorder="1" applyAlignment="1">
      <alignment horizontal="center" vertical="center"/>
    </xf>
    <xf numFmtId="1" fontId="0" fillId="0" borderId="10" xfId="1" applyNumberFormat="1" applyFont="1" applyFill="1" applyBorder="1" applyAlignment="1">
      <alignment horizontal="center" vertical="center"/>
    </xf>
    <xf numFmtId="3" fontId="0" fillId="0" borderId="1" xfId="0" applyNumberFormat="1" applyBorder="1" applyAlignment="1">
      <alignment horizontal="center"/>
    </xf>
    <xf numFmtId="3" fontId="0" fillId="0" borderId="2" xfId="0" applyNumberFormat="1" applyBorder="1" applyAlignment="1">
      <alignment horizontal="center"/>
    </xf>
    <xf numFmtId="3" fontId="0" fillId="20" borderId="3" xfId="0" applyNumberFormat="1" applyFill="1" applyBorder="1" applyAlignment="1">
      <alignment horizontal="center"/>
    </xf>
    <xf numFmtId="0" fontId="7" fillId="0" borderId="4" xfId="0" applyFont="1" applyBorder="1" applyAlignment="1">
      <alignment horizontal="left" vertical="center" indent="1"/>
    </xf>
    <xf numFmtId="1" fontId="0" fillId="0" borderId="4" xfId="0" applyNumberFormat="1" applyBorder="1" applyAlignment="1">
      <alignment horizontal="center"/>
    </xf>
    <xf numFmtId="1" fontId="0" fillId="0" borderId="5" xfId="0" applyNumberFormat="1" applyBorder="1" applyAlignment="1">
      <alignment horizontal="center"/>
    </xf>
    <xf numFmtId="1" fontId="0" fillId="0" borderId="6" xfId="0" applyNumberFormat="1" applyBorder="1" applyAlignment="1">
      <alignment horizontal="center"/>
    </xf>
    <xf numFmtId="3" fontId="0" fillId="0" borderId="1" xfId="0" applyNumberFormat="1" applyBorder="1" applyAlignment="1">
      <alignment horizontal="right" vertical="center" indent="1"/>
    </xf>
    <xf numFmtId="164" fontId="0" fillId="0" borderId="0" xfId="0" applyNumberFormat="1" applyAlignment="1">
      <alignment horizontal="center" vertical="center"/>
    </xf>
    <xf numFmtId="2" fontId="0" fillId="0" borderId="2" xfId="1" applyNumberFormat="1" applyFont="1" applyFill="1" applyBorder="1" applyAlignment="1">
      <alignment horizontal="center" vertical="center"/>
    </xf>
    <xf numFmtId="164" fontId="0" fillId="0" borderId="2" xfId="1" applyNumberFormat="1" applyFont="1" applyFill="1" applyBorder="1" applyAlignment="1">
      <alignment horizontal="center" vertical="center"/>
    </xf>
    <xf numFmtId="164" fontId="2" fillId="5" borderId="4" xfId="0" applyNumberFormat="1" applyFont="1" applyFill="1" applyBorder="1" applyAlignment="1">
      <alignment horizontal="center"/>
    </xf>
    <xf numFmtId="164" fontId="2" fillId="5" borderId="5" xfId="0" applyNumberFormat="1" applyFont="1" applyFill="1" applyBorder="1" applyAlignment="1">
      <alignment horizontal="center"/>
    </xf>
    <xf numFmtId="164" fontId="2" fillId="5" borderId="6" xfId="0" applyNumberFormat="1" applyFont="1" applyFill="1" applyBorder="1" applyAlignment="1">
      <alignment horizontal="center"/>
    </xf>
    <xf numFmtId="3" fontId="0" fillId="0" borderId="4" xfId="0" applyNumberFormat="1" applyBorder="1" applyAlignment="1">
      <alignment horizontal="center" vertical="center"/>
    </xf>
    <xf numFmtId="3" fontId="0" fillId="0" borderId="5" xfId="0" applyNumberFormat="1" applyBorder="1" applyAlignment="1">
      <alignment horizontal="center" vertical="center"/>
    </xf>
    <xf numFmtId="3" fontId="0" fillId="0" borderId="6" xfId="0" applyNumberFormat="1" applyBorder="1" applyAlignment="1">
      <alignment horizontal="center" vertical="center"/>
    </xf>
    <xf numFmtId="0" fontId="48" fillId="0" borderId="10" xfId="0" applyFont="1" applyBorder="1"/>
    <xf numFmtId="0" fontId="48" fillId="0" borderId="13" xfId="0" applyFont="1" applyBorder="1"/>
    <xf numFmtId="9" fontId="0" fillId="0" borderId="7" xfId="1" applyFont="1" applyBorder="1"/>
    <xf numFmtId="164" fontId="2" fillId="5" borderId="4" xfId="0" applyNumberFormat="1" applyFont="1" applyFill="1" applyBorder="1" applyAlignment="1">
      <alignment vertical="center"/>
    </xf>
    <xf numFmtId="164" fontId="2" fillId="5" borderId="5" xfId="0" applyNumberFormat="1" applyFont="1" applyFill="1" applyBorder="1" applyAlignment="1">
      <alignment vertical="center"/>
    </xf>
    <xf numFmtId="164" fontId="2" fillId="5" borderId="6" xfId="0" applyNumberFormat="1" applyFont="1" applyFill="1" applyBorder="1" applyAlignment="1">
      <alignment vertical="center"/>
    </xf>
    <xf numFmtId="0" fontId="2" fillId="10" borderId="0" xfId="0" applyFont="1" applyFill="1" applyAlignment="1">
      <alignment horizontal="center"/>
    </xf>
    <xf numFmtId="0" fontId="0" fillId="10" borderId="0" xfId="0" applyFill="1" applyAlignment="1">
      <alignment horizontal="center"/>
    </xf>
    <xf numFmtId="0" fontId="0" fillId="22" borderId="8" xfId="0" applyFill="1" applyBorder="1"/>
    <xf numFmtId="0" fontId="0" fillId="22" borderId="9" xfId="0" applyFill="1" applyBorder="1"/>
    <xf numFmtId="0" fontId="2" fillId="22" borderId="1" xfId="0" applyFont="1" applyFill="1" applyBorder="1"/>
    <xf numFmtId="0" fontId="2" fillId="27" borderId="4" xfId="0" applyFont="1" applyFill="1" applyBorder="1"/>
    <xf numFmtId="11" fontId="2" fillId="10" borderId="1" xfId="0" applyNumberFormat="1" applyFont="1" applyFill="1" applyBorder="1"/>
    <xf numFmtId="11" fontId="2" fillId="10" borderId="2" xfId="0" applyNumberFormat="1" applyFont="1" applyFill="1" applyBorder="1"/>
    <xf numFmtId="11" fontId="2" fillId="10" borderId="3" xfId="0" applyNumberFormat="1" applyFont="1" applyFill="1" applyBorder="1"/>
    <xf numFmtId="11" fontId="0" fillId="10" borderId="8" xfId="3" applyNumberFormat="1" applyFont="1" applyFill="1" applyBorder="1"/>
    <xf numFmtId="11" fontId="0" fillId="10" borderId="0" xfId="3" applyNumberFormat="1" applyFont="1" applyFill="1" applyBorder="1"/>
    <xf numFmtId="11" fontId="0" fillId="10" borderId="12" xfId="3" applyNumberFormat="1" applyFont="1" applyFill="1" applyBorder="1"/>
    <xf numFmtId="11" fontId="2" fillId="10" borderId="8" xfId="0" applyNumberFormat="1" applyFont="1" applyFill="1" applyBorder="1"/>
    <xf numFmtId="11" fontId="2" fillId="10" borderId="0" xfId="0" applyNumberFormat="1" applyFont="1" applyFill="1"/>
    <xf numFmtId="11" fontId="2" fillId="10" borderId="12" xfId="0" applyNumberFormat="1" applyFont="1" applyFill="1" applyBorder="1"/>
    <xf numFmtId="11" fontId="1" fillId="10" borderId="8" xfId="3" applyNumberFormat="1" applyFont="1" applyFill="1" applyBorder="1"/>
    <xf numFmtId="11" fontId="1" fillId="10" borderId="0" xfId="3" applyNumberFormat="1" applyFont="1" applyFill="1" applyBorder="1"/>
    <xf numFmtId="11" fontId="1" fillId="10" borderId="12" xfId="3" applyNumberFormat="1" applyFont="1" applyFill="1" applyBorder="1"/>
    <xf numFmtId="11" fontId="1" fillId="10" borderId="9" xfId="3" applyNumberFormat="1" applyFont="1" applyFill="1" applyBorder="1"/>
    <xf numFmtId="11" fontId="1" fillId="10" borderId="10" xfId="3" applyNumberFormat="1" applyFont="1" applyFill="1" applyBorder="1"/>
    <xf numFmtId="11" fontId="1" fillId="10" borderId="13" xfId="3" applyNumberFormat="1" applyFont="1" applyFill="1" applyBorder="1"/>
    <xf numFmtId="11" fontId="2" fillId="10" borderId="1" xfId="3" applyNumberFormat="1" applyFont="1" applyFill="1" applyBorder="1"/>
    <xf numFmtId="11" fontId="2" fillId="10" borderId="2" xfId="3" applyNumberFormat="1" applyFont="1" applyFill="1" applyBorder="1"/>
    <xf numFmtId="11" fontId="2" fillId="10" borderId="3" xfId="3" applyNumberFormat="1" applyFont="1" applyFill="1" applyBorder="1"/>
    <xf numFmtId="0" fontId="2" fillId="27" borderId="0" xfId="0" applyFont="1" applyFill="1"/>
    <xf numFmtId="0" fontId="2" fillId="27" borderId="9" xfId="0" applyFont="1" applyFill="1" applyBorder="1"/>
    <xf numFmtId="167" fontId="0" fillId="0" borderId="8" xfId="3" applyNumberFormat="1" applyFont="1" applyBorder="1"/>
    <xf numFmtId="167" fontId="0" fillId="0" borderId="0" xfId="3" applyNumberFormat="1" applyFont="1" applyBorder="1"/>
    <xf numFmtId="167" fontId="0" fillId="0" borderId="12" xfId="3" applyNumberFormat="1" applyFont="1" applyBorder="1"/>
    <xf numFmtId="167" fontId="2" fillId="27" borderId="9" xfId="3" applyNumberFormat="1" applyFont="1" applyFill="1" applyBorder="1"/>
    <xf numFmtId="167" fontId="2" fillId="27" borderId="10" xfId="3" applyNumberFormat="1" applyFont="1" applyFill="1" applyBorder="1"/>
    <xf numFmtId="167" fontId="2" fillId="27" borderId="13" xfId="3" applyNumberFormat="1" applyFont="1" applyFill="1" applyBorder="1"/>
    <xf numFmtId="0" fontId="9" fillId="0" borderId="0" xfId="0" applyFont="1" applyAlignment="1">
      <alignment horizontal="center" vertical="center"/>
    </xf>
    <xf numFmtId="0" fontId="7" fillId="14" borderId="1" xfId="0" applyFont="1" applyFill="1" applyBorder="1" applyAlignment="1">
      <alignment horizontal="center" vertical="center"/>
    </xf>
    <xf numFmtId="0" fontId="7" fillId="14" borderId="2" xfId="0" applyFont="1" applyFill="1" applyBorder="1" applyAlignment="1">
      <alignment horizontal="center" vertical="center"/>
    </xf>
    <xf numFmtId="0" fontId="7" fillId="14" borderId="3" xfId="0" applyFont="1" applyFill="1" applyBorder="1" applyAlignment="1">
      <alignment horizontal="center" vertical="center"/>
    </xf>
    <xf numFmtId="0" fontId="61" fillId="0" borderId="0" xfId="0" applyFont="1"/>
    <xf numFmtId="0" fontId="34" fillId="0" borderId="0" xfId="0" applyFont="1"/>
    <xf numFmtId="0" fontId="7" fillId="3" borderId="0" xfId="0" applyFont="1" applyFill="1"/>
    <xf numFmtId="3" fontId="7" fillId="3" borderId="0" xfId="0" applyNumberFormat="1" applyFont="1" applyFill="1"/>
    <xf numFmtId="0" fontId="14" fillId="0" borderId="0" xfId="0" applyFont="1" applyAlignment="1">
      <alignment horizontal="center"/>
    </xf>
    <xf numFmtId="0" fontId="14" fillId="0" borderId="0" xfId="0" applyFont="1" applyAlignment="1">
      <alignment vertical="center"/>
    </xf>
    <xf numFmtId="0" fontId="14" fillId="10" borderId="0" xfId="0" applyFont="1" applyFill="1" applyAlignment="1">
      <alignment horizontal="center"/>
    </xf>
    <xf numFmtId="0" fontId="7" fillId="0" borderId="0" xfId="0" applyFont="1" applyAlignment="1">
      <alignment horizont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4" xfId="0" applyFont="1" applyBorder="1" applyAlignment="1">
      <alignment horizontal="center"/>
    </xf>
    <xf numFmtId="0" fontId="7" fillId="0" borderId="5" xfId="0" applyFont="1" applyBorder="1" applyAlignment="1">
      <alignment horizont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164" fontId="7" fillId="10" borderId="1" xfId="0" applyNumberFormat="1" applyFont="1" applyFill="1" applyBorder="1" applyAlignment="1">
      <alignment vertical="center"/>
    </xf>
    <xf numFmtId="164" fontId="7" fillId="10" borderId="2" xfId="0" applyNumberFormat="1" applyFont="1" applyFill="1" applyBorder="1" applyAlignment="1">
      <alignment vertical="center"/>
    </xf>
    <xf numFmtId="164" fontId="7" fillId="10" borderId="2" xfId="0" applyNumberFormat="1" applyFont="1" applyFill="1" applyBorder="1"/>
    <xf numFmtId="164" fontId="7" fillId="10" borderId="3" xfId="0" applyNumberFormat="1" applyFont="1" applyFill="1" applyBorder="1"/>
    <xf numFmtId="14" fontId="7" fillId="0" borderId="0" xfId="0" applyNumberFormat="1" applyFont="1"/>
    <xf numFmtId="0" fontId="7" fillId="0" borderId="8" xfId="0" applyFont="1" applyBorder="1" applyAlignment="1">
      <alignment vertical="center"/>
    </xf>
    <xf numFmtId="0" fontId="7" fillId="0" borderId="0" xfId="0" quotePrefix="1" applyFont="1" applyAlignment="1">
      <alignment vertical="center"/>
    </xf>
    <xf numFmtId="0" fontId="7" fillId="0" borderId="12" xfId="0" quotePrefix="1" applyFont="1" applyBorder="1" applyAlignment="1">
      <alignment vertical="center"/>
    </xf>
    <xf numFmtId="164" fontId="7" fillId="10" borderId="8" xfId="0" quotePrefix="1" applyNumberFormat="1" applyFont="1" applyFill="1" applyBorder="1" applyAlignment="1">
      <alignment vertical="center"/>
    </xf>
    <xf numFmtId="164" fontId="7" fillId="10" borderId="0" xfId="0" quotePrefix="1" applyNumberFormat="1" applyFont="1" applyFill="1" applyAlignment="1">
      <alignment vertical="center"/>
    </xf>
    <xf numFmtId="164" fontId="7" fillId="10" borderId="0" xfId="0" applyNumberFormat="1" applyFont="1" applyFill="1"/>
    <xf numFmtId="164" fontId="7" fillId="10" borderId="12" xfId="0" applyNumberFormat="1" applyFont="1" applyFill="1" applyBorder="1"/>
    <xf numFmtId="0" fontId="14" fillId="0" borderId="4" xfId="0" applyFont="1" applyBorder="1" applyAlignment="1">
      <alignment vertical="center"/>
    </xf>
    <xf numFmtId="0" fontId="14" fillId="0" borderId="5" xfId="0" applyFont="1" applyBorder="1" applyAlignment="1">
      <alignment vertical="center"/>
    </xf>
    <xf numFmtId="0" fontId="14" fillId="0" borderId="5" xfId="0" quotePrefix="1" applyFont="1" applyBorder="1" applyAlignment="1">
      <alignment vertical="center"/>
    </xf>
    <xf numFmtId="0" fontId="14" fillId="0" borderId="6" xfId="0" quotePrefix="1" applyFont="1" applyBorder="1" applyAlignment="1">
      <alignment vertical="center"/>
    </xf>
    <xf numFmtId="164" fontId="14" fillId="10" borderId="4" xfId="0" quotePrefix="1" applyNumberFormat="1" applyFont="1" applyFill="1" applyBorder="1" applyAlignment="1">
      <alignment vertical="center"/>
    </xf>
    <xf numFmtId="164" fontId="14" fillId="10" borderId="5" xfId="0" quotePrefix="1" applyNumberFormat="1" applyFont="1" applyFill="1" applyBorder="1" applyAlignment="1">
      <alignment vertical="center"/>
    </xf>
    <xf numFmtId="164" fontId="14" fillId="10" borderId="5" xfId="0" applyNumberFormat="1" applyFont="1" applyFill="1" applyBorder="1"/>
    <xf numFmtId="164" fontId="14" fillId="10" borderId="6" xfId="0" applyNumberFormat="1" applyFont="1" applyFill="1" applyBorder="1"/>
    <xf numFmtId="0" fontId="14" fillId="0" borderId="0" xfId="0" quotePrefix="1" applyFont="1" applyAlignment="1">
      <alignment vertical="center"/>
    </xf>
    <xf numFmtId="0" fontId="62" fillId="0" borderId="0" xfId="2" applyFont="1"/>
    <xf numFmtId="0" fontId="7" fillId="0" borderId="1" xfId="0" applyFont="1" applyBorder="1"/>
    <xf numFmtId="0" fontId="14" fillId="0" borderId="2" xfId="0" applyFont="1" applyBorder="1" applyAlignment="1">
      <alignment vertical="center"/>
    </xf>
    <xf numFmtId="0" fontId="7" fillId="0" borderId="2" xfId="0" quotePrefix="1" applyFont="1" applyBorder="1" applyAlignment="1">
      <alignment horizontal="left" vertical="center"/>
    </xf>
    <xf numFmtId="0" fontId="14" fillId="0" borderId="3" xfId="0" quotePrefix="1" applyFont="1" applyBorder="1" applyAlignment="1">
      <alignment vertical="center"/>
    </xf>
    <xf numFmtId="0" fontId="14" fillId="0" borderId="1" xfId="0" quotePrefix="1" applyFont="1" applyBorder="1" applyAlignment="1">
      <alignment vertical="center"/>
    </xf>
    <xf numFmtId="0" fontId="14" fillId="0" borderId="2" xfId="0" quotePrefix="1" applyFont="1" applyBorder="1" applyAlignment="1">
      <alignment vertical="center"/>
    </xf>
    <xf numFmtId="0" fontId="7" fillId="0" borderId="2" xfId="0" applyFont="1" applyBorder="1"/>
    <xf numFmtId="0" fontId="7" fillId="0" borderId="12" xfId="0" applyFont="1" applyBorder="1"/>
    <xf numFmtId="0" fontId="7" fillId="0" borderId="8" xfId="0" applyFont="1" applyBorder="1"/>
    <xf numFmtId="0" fontId="7" fillId="0" borderId="0" xfId="0" quotePrefix="1" applyFont="1" applyAlignment="1">
      <alignment horizontal="left" vertical="center"/>
    </xf>
    <xf numFmtId="0" fontId="14" fillId="0" borderId="12" xfId="0" quotePrefix="1" applyFont="1" applyBorder="1" applyAlignment="1">
      <alignment vertical="center"/>
    </xf>
    <xf numFmtId="0" fontId="14" fillId="0" borderId="8" xfId="0" quotePrefix="1" applyFont="1" applyBorder="1" applyAlignment="1">
      <alignment vertical="center"/>
    </xf>
    <xf numFmtId="0" fontId="14" fillId="0" borderId="9" xfId="0" quotePrefix="1" applyFont="1" applyBorder="1" applyAlignment="1">
      <alignment vertical="center"/>
    </xf>
    <xf numFmtId="0" fontId="14" fillId="0" borderId="10" xfId="0" quotePrefix="1" applyFont="1" applyBorder="1" applyAlignment="1">
      <alignment vertical="center"/>
    </xf>
    <xf numFmtId="0" fontId="7" fillId="0" borderId="10" xfId="0" applyFont="1" applyBorder="1"/>
    <xf numFmtId="0" fontId="7" fillId="0" borderId="13" xfId="0" applyFont="1" applyBorder="1"/>
    <xf numFmtId="0" fontId="14" fillId="0" borderId="4" xfId="0" applyFont="1" applyBorder="1"/>
    <xf numFmtId="0" fontId="14" fillId="0" borderId="5" xfId="0" quotePrefix="1" applyFont="1" applyBorder="1" applyAlignment="1">
      <alignment horizontal="left" vertical="center"/>
    </xf>
    <xf numFmtId="0" fontId="14" fillId="0" borderId="4" xfId="0" quotePrefix="1" applyFont="1" applyBorder="1" applyAlignment="1">
      <alignment vertical="center"/>
    </xf>
    <xf numFmtId="0" fontId="7" fillId="0" borderId="5" xfId="0" applyFont="1" applyBorder="1"/>
    <xf numFmtId="9" fontId="7" fillId="0" borderId="5" xfId="1" applyFont="1" applyBorder="1"/>
    <xf numFmtId="9" fontId="7" fillId="0" borderId="6" xfId="1" applyFont="1" applyBorder="1"/>
    <xf numFmtId="0" fontId="7" fillId="0" borderId="4" xfId="0" applyFont="1" applyBorder="1"/>
    <xf numFmtId="0" fontId="14" fillId="10" borderId="1" xfId="0" applyFont="1" applyFill="1" applyBorder="1"/>
    <xf numFmtId="0" fontId="14" fillId="10" borderId="2" xfId="0" applyFont="1" applyFill="1" applyBorder="1" applyAlignment="1">
      <alignment vertical="center"/>
    </xf>
    <xf numFmtId="0" fontId="7" fillId="0" borderId="2" xfId="0" quotePrefix="1" applyFont="1" applyBorder="1" applyAlignment="1">
      <alignment vertical="center"/>
    </xf>
    <xf numFmtId="0" fontId="7" fillId="0" borderId="3" xfId="0" applyFont="1" applyBorder="1"/>
    <xf numFmtId="0" fontId="7" fillId="10" borderId="8" xfId="0" applyFont="1" applyFill="1" applyBorder="1"/>
    <xf numFmtId="0" fontId="14" fillId="10" borderId="0" xfId="0" applyFont="1" applyFill="1" applyAlignment="1">
      <alignment vertical="center"/>
    </xf>
    <xf numFmtId="0" fontId="7" fillId="0" borderId="8" xfId="0" quotePrefix="1" applyFont="1" applyBorder="1" applyAlignment="1">
      <alignment vertical="center"/>
    </xf>
    <xf numFmtId="0" fontId="14" fillId="10" borderId="9" xfId="0" applyFont="1" applyFill="1" applyBorder="1"/>
    <xf numFmtId="0" fontId="14" fillId="10" borderId="10" xfId="0" applyFont="1" applyFill="1" applyBorder="1" applyAlignment="1">
      <alignment vertical="center"/>
    </xf>
    <xf numFmtId="0" fontId="7" fillId="0" borderId="10" xfId="0" quotePrefix="1" applyFont="1" applyBorder="1" applyAlignment="1">
      <alignment vertical="center"/>
    </xf>
    <xf numFmtId="0" fontId="14" fillId="0" borderId="13" xfId="0" quotePrefix="1" applyFont="1" applyBorder="1" applyAlignment="1">
      <alignment vertical="center"/>
    </xf>
    <xf numFmtId="0" fontId="7" fillId="0" borderId="9" xfId="0" quotePrefix="1" applyFont="1" applyBorder="1" applyAlignment="1">
      <alignment vertical="center"/>
    </xf>
    <xf numFmtId="0" fontId="14" fillId="0" borderId="0" xfId="0" applyFont="1"/>
    <xf numFmtId="0" fontId="7" fillId="0" borderId="9" xfId="0" applyFont="1" applyBorder="1"/>
    <xf numFmtId="0" fontId="7" fillId="15" borderId="11" xfId="0" applyFont="1" applyFill="1" applyBorder="1" applyAlignment="1">
      <alignment horizont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3" fontId="7" fillId="0" borderId="2" xfId="0" applyNumberFormat="1" applyFont="1" applyBorder="1" applyAlignment="1">
      <alignment horizontal="right" vertical="center" indent="1"/>
    </xf>
    <xf numFmtId="3" fontId="7" fillId="0" borderId="3" xfId="0" applyNumberFormat="1" applyFont="1" applyBorder="1" applyAlignment="1">
      <alignment horizontal="right" vertical="center" indent="1"/>
    </xf>
    <xf numFmtId="0" fontId="7" fillId="0" borderId="12" xfId="0" quotePrefix="1" applyFont="1" applyBorder="1" applyAlignment="1">
      <alignment horizontal="center" vertical="center"/>
    </xf>
    <xf numFmtId="1" fontId="7" fillId="0" borderId="0" xfId="0" applyNumberFormat="1" applyFont="1" applyAlignment="1">
      <alignment horizontal="right" vertical="center" indent="1"/>
    </xf>
    <xf numFmtId="1" fontId="7" fillId="0" borderId="12" xfId="0" applyNumberFormat="1" applyFont="1" applyBorder="1" applyAlignment="1">
      <alignment horizontal="right" vertical="center" indent="1"/>
    </xf>
    <xf numFmtId="0" fontId="7" fillId="0" borderId="6" xfId="0" applyFont="1" applyBorder="1"/>
    <xf numFmtId="11" fontId="7" fillId="0" borderId="0" xfId="0" applyNumberFormat="1" applyFont="1"/>
    <xf numFmtId="0" fontId="7" fillId="0" borderId="14" xfId="0" applyFont="1" applyBorder="1"/>
    <xf numFmtId="0" fontId="7" fillId="0" borderId="4" xfId="0" applyFont="1" applyBorder="1" applyAlignment="1">
      <alignment horizontal="center" vertical="center"/>
    </xf>
    <xf numFmtId="0" fontId="61" fillId="3" borderId="0" xfId="0" applyFont="1" applyFill="1"/>
    <xf numFmtId="11" fontId="7" fillId="0" borderId="6" xfId="0" applyNumberFormat="1" applyFont="1" applyBorder="1"/>
    <xf numFmtId="11" fontId="7" fillId="0" borderId="3" xfId="0" applyNumberFormat="1" applyFont="1" applyBorder="1"/>
    <xf numFmtId="9" fontId="7" fillId="0" borderId="3" xfId="1" applyFont="1" applyBorder="1"/>
    <xf numFmtId="9" fontId="7" fillId="0" borderId="12" xfId="1" applyFont="1" applyBorder="1"/>
    <xf numFmtId="3" fontId="7" fillId="10" borderId="2" xfId="0" applyNumberFormat="1" applyFont="1" applyFill="1" applyBorder="1" applyAlignment="1">
      <alignment horizontal="right" vertical="center" indent="1"/>
    </xf>
    <xf numFmtId="0" fontId="62" fillId="10" borderId="0" xfId="2" applyFont="1" applyFill="1" applyBorder="1"/>
    <xf numFmtId="0" fontId="7" fillId="10" borderId="0" xfId="0" applyFont="1" applyFill="1"/>
    <xf numFmtId="14" fontId="7" fillId="10" borderId="0" xfId="0" applyNumberFormat="1" applyFont="1" applyFill="1"/>
    <xf numFmtId="0" fontId="7" fillId="10" borderId="0" xfId="0" applyFont="1" applyFill="1" applyAlignment="1">
      <alignment vertical="center"/>
    </xf>
    <xf numFmtId="1" fontId="7" fillId="10" borderId="0" xfId="0" applyNumberFormat="1" applyFont="1" applyFill="1" applyAlignment="1">
      <alignment horizontal="left" vertical="center"/>
    </xf>
    <xf numFmtId="0" fontId="7" fillId="10" borderId="0" xfId="0" applyFont="1" applyFill="1" applyAlignment="1">
      <alignment horizontal="left" vertical="center"/>
    </xf>
    <xf numFmtId="0" fontId="14" fillId="10" borderId="0" xfId="0" applyFont="1" applyFill="1"/>
    <xf numFmtId="1" fontId="7" fillId="10" borderId="0" xfId="0" applyNumberFormat="1" applyFont="1" applyFill="1" applyAlignment="1">
      <alignment horizontal="right" vertical="center" indent="1"/>
    </xf>
    <xf numFmtId="3" fontId="34" fillId="10" borderId="0" xfId="0" applyNumberFormat="1" applyFont="1" applyFill="1"/>
    <xf numFmtId="3" fontId="7" fillId="10" borderId="1" xfId="0" applyNumberFormat="1" applyFont="1" applyFill="1" applyBorder="1" applyAlignment="1">
      <alignment horizontal="right" vertical="center" indent="1"/>
    </xf>
    <xf numFmtId="11" fontId="7" fillId="0" borderId="1" xfId="0" applyNumberFormat="1" applyFont="1" applyBorder="1"/>
    <xf numFmtId="11" fontId="7" fillId="0" borderId="2" xfId="0" applyNumberFormat="1" applyFont="1" applyBorder="1"/>
    <xf numFmtId="2" fontId="7" fillId="0" borderId="10" xfId="0" applyNumberFormat="1" applyFont="1" applyBorder="1"/>
    <xf numFmtId="9" fontId="7" fillId="0" borderId="7" xfId="1" applyFont="1" applyBorder="1"/>
    <xf numFmtId="9" fontId="7" fillId="0" borderId="11" xfId="1" applyFont="1" applyBorder="1"/>
    <xf numFmtId="168" fontId="0" fillId="0" borderId="2" xfId="1" applyNumberFormat="1" applyFont="1" applyBorder="1"/>
    <xf numFmtId="0" fontId="33" fillId="0" borderId="0" xfId="0" applyFont="1"/>
    <xf numFmtId="0" fontId="5" fillId="3" borderId="0" xfId="0" applyFont="1" applyFill="1"/>
    <xf numFmtId="0" fontId="46" fillId="10" borderId="0" xfId="0" applyFont="1" applyFill="1"/>
    <xf numFmtId="0" fontId="0" fillId="21" borderId="1" xfId="0" applyFill="1" applyBorder="1" applyAlignment="1">
      <alignment horizontal="center"/>
    </xf>
    <xf numFmtId="0" fontId="0" fillId="21" borderId="2" xfId="0" applyFill="1" applyBorder="1" applyAlignment="1">
      <alignment horizontal="center"/>
    </xf>
    <xf numFmtId="0" fontId="0" fillId="21" borderId="2" xfId="0" applyFill="1" applyBorder="1" applyAlignment="1">
      <alignment horizontal="center" vertical="center"/>
    </xf>
    <xf numFmtId="0" fontId="0" fillId="21" borderId="3" xfId="0" applyFill="1" applyBorder="1" applyAlignment="1">
      <alignment horizontal="center" vertical="center"/>
    </xf>
    <xf numFmtId="1" fontId="0" fillId="0" borderId="12" xfId="0" applyNumberFormat="1" applyBorder="1" applyAlignment="1">
      <alignment horizontal="center" vertical="center"/>
    </xf>
    <xf numFmtId="1" fontId="0" fillId="0" borderId="13" xfId="0" applyNumberFormat="1" applyBorder="1" applyAlignment="1">
      <alignment horizontal="center" vertical="center"/>
    </xf>
    <xf numFmtId="1" fontId="0" fillId="0" borderId="4" xfId="0" applyNumberFormat="1" applyBorder="1" applyAlignment="1">
      <alignment horizontal="center" vertical="center"/>
    </xf>
    <xf numFmtId="1" fontId="0" fillId="0" borderId="5" xfId="0" applyNumberFormat="1" applyBorder="1" applyAlignment="1">
      <alignment horizontal="center" vertical="center"/>
    </xf>
    <xf numFmtId="1" fontId="0" fillId="0" borderId="6" xfId="0" applyNumberFormat="1" applyBorder="1" applyAlignment="1">
      <alignment horizontal="center" vertical="center"/>
    </xf>
    <xf numFmtId="3" fontId="2" fillId="0" borderId="1" xfId="0" applyNumberFormat="1" applyFont="1" applyBorder="1" applyAlignment="1">
      <alignment horizontal="right" vertical="center" indent="1"/>
    </xf>
    <xf numFmtId="3" fontId="2" fillId="0" borderId="2" xfId="0" applyNumberFormat="1" applyFont="1" applyBorder="1" applyAlignment="1">
      <alignment horizontal="right" vertical="center" indent="1"/>
    </xf>
    <xf numFmtId="3" fontId="2" fillId="0" borderId="3" xfId="0" applyNumberFormat="1" applyFont="1" applyBorder="1" applyAlignment="1">
      <alignment horizontal="right" vertical="center" indent="1"/>
    </xf>
    <xf numFmtId="2" fontId="0" fillId="0" borderId="4" xfId="0" applyNumberFormat="1" applyBorder="1"/>
    <xf numFmtId="2" fontId="0" fillId="0" borderId="6" xfId="0" applyNumberFormat="1" applyBorder="1"/>
    <xf numFmtId="2" fontId="0" fillId="0" borderId="8" xfId="0" applyNumberFormat="1" applyBorder="1" applyAlignment="1">
      <alignment horizontal="center"/>
    </xf>
    <xf numFmtId="2" fontId="0" fillId="0" borderId="0" xfId="1" applyNumberFormat="1" applyFont="1" applyBorder="1"/>
    <xf numFmtId="9" fontId="0" fillId="0" borderId="4" xfId="1" applyFont="1" applyBorder="1"/>
    <xf numFmtId="9" fontId="0" fillId="0" borderId="5" xfId="1" applyFont="1" applyBorder="1" applyAlignment="1">
      <alignment horizontal="center"/>
    </xf>
    <xf numFmtId="9" fontId="0" fillId="0" borderId="6" xfId="1" applyFont="1" applyBorder="1" applyAlignment="1">
      <alignment horizontal="center"/>
    </xf>
    <xf numFmtId="0" fontId="0" fillId="0" borderId="13" xfId="1" applyNumberFormat="1" applyFont="1" applyBorder="1"/>
    <xf numFmtId="3" fontId="0" fillId="0" borderId="5" xfId="0" applyNumberFormat="1" applyBorder="1" applyAlignment="1">
      <alignment horizontal="center"/>
    </xf>
    <xf numFmtId="3" fontId="0" fillId="0" borderId="6" xfId="0" applyNumberFormat="1" applyBorder="1" applyAlignment="1">
      <alignment horizontal="center"/>
    </xf>
    <xf numFmtId="0" fontId="0" fillId="22" borderId="10" xfId="0" applyFill="1" applyBorder="1"/>
    <xf numFmtId="2" fontId="0" fillId="0" borderId="6" xfId="0" applyNumberFormat="1" applyBorder="1" applyAlignment="1">
      <alignment horizontal="center"/>
    </xf>
    <xf numFmtId="3" fontId="17" fillId="0" borderId="8" xfId="5" applyNumberFormat="1" applyFont="1" applyBorder="1" applyAlignment="1">
      <alignment horizontal="center" vertical="center"/>
    </xf>
    <xf numFmtId="3" fontId="17" fillId="0" borderId="0" xfId="5" applyNumberFormat="1" applyFont="1" applyAlignment="1">
      <alignment horizontal="center" vertical="center"/>
    </xf>
    <xf numFmtId="3" fontId="17" fillId="0" borderId="12" xfId="5" applyNumberFormat="1" applyFont="1" applyBorder="1" applyAlignment="1">
      <alignment horizontal="center" vertical="center"/>
    </xf>
    <xf numFmtId="3" fontId="17" fillId="0" borderId="9" xfId="5" applyNumberFormat="1" applyFont="1" applyBorder="1" applyAlignment="1">
      <alignment horizontal="center" vertical="center"/>
    </xf>
    <xf numFmtId="3" fontId="17" fillId="0" borderId="10" xfId="5" applyNumberFormat="1" applyFont="1" applyBorder="1" applyAlignment="1">
      <alignment horizontal="center" vertical="center"/>
    </xf>
    <xf numFmtId="3" fontId="17" fillId="0" borderId="13" xfId="5" applyNumberFormat="1" applyFont="1" applyBorder="1" applyAlignment="1">
      <alignment horizontal="center" vertical="center"/>
    </xf>
    <xf numFmtId="0" fontId="17" fillId="0" borderId="8" xfId="0" applyFont="1" applyBorder="1" applyAlignment="1">
      <alignment horizontal="left" indent="2"/>
    </xf>
    <xf numFmtId="0" fontId="17" fillId="0" borderId="8" xfId="0" applyFont="1" applyBorder="1" applyAlignment="1">
      <alignment horizontal="left" vertical="top" indent="2"/>
    </xf>
    <xf numFmtId="0" fontId="17" fillId="0" borderId="9" xfId="0" applyFont="1" applyBorder="1" applyAlignment="1">
      <alignment horizontal="left" indent="2"/>
    </xf>
    <xf numFmtId="0" fontId="17" fillId="0" borderId="4" xfId="0" applyFont="1" applyBorder="1" applyAlignment="1">
      <alignment horizontal="left" indent="2"/>
    </xf>
    <xf numFmtId="3" fontId="0" fillId="0" borderId="4" xfId="0" applyNumberFormat="1" applyBorder="1" applyAlignment="1">
      <alignment horizontal="center"/>
    </xf>
    <xf numFmtId="0" fontId="65" fillId="10" borderId="0" xfId="0" applyFont="1" applyFill="1"/>
    <xf numFmtId="0" fontId="17" fillId="0" borderId="1" xfId="0" applyFont="1" applyBorder="1" applyAlignment="1">
      <alignment horizontal="left" vertical="center" indent="1"/>
    </xf>
    <xf numFmtId="0" fontId="17" fillId="0" borderId="9" xfId="0" applyFont="1" applyBorder="1" applyAlignment="1">
      <alignment horizontal="left" vertical="center" indent="1"/>
    </xf>
    <xf numFmtId="0" fontId="17" fillId="0" borderId="4" xfId="0" applyFont="1" applyBorder="1" applyAlignment="1">
      <alignment horizontal="left" vertical="center" indent="1"/>
    </xf>
    <xf numFmtId="0" fontId="8" fillId="0" borderId="2" xfId="0" applyFont="1" applyBorder="1" applyAlignment="1">
      <alignment vertical="center"/>
    </xf>
    <xf numFmtId="0" fontId="17" fillId="0" borderId="3" xfId="0" applyFont="1" applyBorder="1" applyAlignment="1">
      <alignment vertical="center"/>
    </xf>
    <xf numFmtId="0" fontId="17" fillId="0" borderId="13" xfId="0" applyFont="1" applyBorder="1" applyAlignment="1">
      <alignment vertical="center"/>
    </xf>
    <xf numFmtId="0" fontId="17" fillId="0" borderId="6" xfId="0" applyFont="1" applyBorder="1" applyAlignment="1">
      <alignment vertical="center"/>
    </xf>
    <xf numFmtId="0" fontId="8" fillId="0" borderId="3" xfId="0" applyFont="1" applyBorder="1" applyAlignment="1">
      <alignment vertical="center"/>
    </xf>
    <xf numFmtId="0" fontId="8" fillId="0" borderId="13" xfId="0" applyFont="1" applyBorder="1" applyAlignment="1">
      <alignment vertical="center"/>
    </xf>
    <xf numFmtId="0" fontId="8" fillId="10" borderId="4" xfId="0" applyFont="1" applyFill="1" applyBorder="1" applyAlignment="1">
      <alignment vertical="center"/>
    </xf>
    <xf numFmtId="0" fontId="8" fillId="10" borderId="5" xfId="0" applyFont="1" applyFill="1" applyBorder="1" applyAlignment="1">
      <alignment vertical="center"/>
    </xf>
    <xf numFmtId="0" fontId="8" fillId="10" borderId="6" xfId="0" applyFont="1" applyFill="1" applyBorder="1" applyAlignment="1">
      <alignment vertical="center"/>
    </xf>
    <xf numFmtId="2" fontId="0" fillId="0" borderId="4" xfId="0" applyNumberFormat="1" applyBorder="1" applyAlignment="1">
      <alignment horizontal="center"/>
    </xf>
    <xf numFmtId="2" fontId="0" fillId="0" borderId="5" xfId="0" applyNumberFormat="1" applyBorder="1" applyAlignment="1">
      <alignment horizontal="center"/>
    </xf>
    <xf numFmtId="3" fontId="2" fillId="10" borderId="0" xfId="0" applyNumberFormat="1" applyFont="1" applyFill="1" applyAlignment="1">
      <alignment horizontal="right" vertical="center" indent="1"/>
    </xf>
    <xf numFmtId="3" fontId="0" fillId="10" borderId="0" xfId="0" applyNumberFormat="1" applyFill="1" applyAlignment="1">
      <alignment horizontal="right" vertical="center" indent="1"/>
    </xf>
    <xf numFmtId="0" fontId="0" fillId="10" borderId="0" xfId="0" applyFill="1" applyAlignment="1">
      <alignment vertical="center"/>
    </xf>
    <xf numFmtId="0" fontId="2" fillId="10" borderId="0" xfId="0" applyFont="1" applyFill="1" applyAlignment="1">
      <alignment vertical="center"/>
    </xf>
    <xf numFmtId="0" fontId="17" fillId="0" borderId="0" xfId="0" applyFont="1" applyAlignment="1">
      <alignment horizontal="left" indent="2"/>
    </xf>
    <xf numFmtId="0" fontId="17" fillId="0" borderId="0" xfId="0" applyFont="1" applyAlignment="1">
      <alignment horizontal="left" vertical="top"/>
    </xf>
    <xf numFmtId="0" fontId="17" fillId="0" borderId="0" xfId="0" applyFont="1" applyAlignment="1">
      <alignment vertical="top"/>
    </xf>
    <xf numFmtId="9" fontId="0" fillId="0" borderId="1" xfId="1" applyFont="1" applyBorder="1" applyAlignment="1">
      <alignment horizontal="center"/>
    </xf>
    <xf numFmtId="9" fontId="0" fillId="0" borderId="4" xfId="1" applyFont="1" applyBorder="1" applyAlignment="1">
      <alignment horizontal="center"/>
    </xf>
    <xf numFmtId="9" fontId="0" fillId="0" borderId="7" xfId="0" applyNumberFormat="1" applyBorder="1"/>
    <xf numFmtId="0" fontId="0" fillId="0" borderId="7" xfId="0" applyBorder="1" applyAlignment="1">
      <alignment horizontal="center"/>
    </xf>
    <xf numFmtId="9" fontId="0" fillId="0" borderId="24" xfId="0" applyNumberFormat="1" applyBorder="1"/>
    <xf numFmtId="0" fontId="17" fillId="0" borderId="8" xfId="0" applyFont="1" applyBorder="1" applyAlignment="1">
      <alignment horizontal="left" vertical="top"/>
    </xf>
    <xf numFmtId="0" fontId="8" fillId="0" borderId="0" xfId="0" applyFont="1" applyAlignment="1">
      <alignment horizontal="left" vertical="top"/>
    </xf>
    <xf numFmtId="3" fontId="17" fillId="10" borderId="8" xfId="5" applyNumberFormat="1" applyFont="1" applyFill="1" applyBorder="1" applyAlignment="1">
      <alignment horizontal="center" vertical="center"/>
    </xf>
    <xf numFmtId="3" fontId="17" fillId="10" borderId="0" xfId="5" applyNumberFormat="1" applyFont="1" applyFill="1" applyAlignment="1">
      <alignment horizontal="center" vertical="center"/>
    </xf>
    <xf numFmtId="3" fontId="17" fillId="10" borderId="12" xfId="5" applyNumberFormat="1" applyFont="1" applyFill="1" applyBorder="1" applyAlignment="1">
      <alignment horizontal="center" vertical="center"/>
    </xf>
    <xf numFmtId="0" fontId="0" fillId="10" borderId="8" xfId="0" applyFill="1" applyBorder="1" applyAlignment="1">
      <alignment vertical="center"/>
    </xf>
    <xf numFmtId="0" fontId="0" fillId="10" borderId="12" xfId="0" applyFill="1" applyBorder="1" applyAlignment="1">
      <alignment vertical="center"/>
    </xf>
    <xf numFmtId="3" fontId="17" fillId="10" borderId="14" xfId="0" applyNumberFormat="1" applyFont="1" applyFill="1" applyBorder="1" applyAlignment="1">
      <alignment horizontal="right" vertical="center" indent="1"/>
    </xf>
    <xf numFmtId="0" fontId="17" fillId="10" borderId="14" xfId="0" applyFont="1" applyFill="1" applyBorder="1" applyAlignment="1">
      <alignment horizontal="center" vertical="center"/>
    </xf>
    <xf numFmtId="0" fontId="17" fillId="10" borderId="7" xfId="0" applyFont="1" applyFill="1" applyBorder="1" applyAlignment="1">
      <alignment horizontal="center" vertical="center"/>
    </xf>
    <xf numFmtId="3" fontId="17" fillId="10" borderId="7" xfId="0" applyNumberFormat="1" applyFont="1" applyFill="1" applyBorder="1" applyAlignment="1">
      <alignment horizontal="right" vertical="center" indent="1"/>
    </xf>
    <xf numFmtId="3" fontId="17" fillId="10" borderId="24" xfId="0" applyNumberFormat="1" applyFont="1" applyFill="1" applyBorder="1" applyAlignment="1">
      <alignment horizontal="right" vertical="center" indent="1"/>
    </xf>
    <xf numFmtId="3" fontId="17" fillId="10" borderId="11" xfId="0" applyNumberFormat="1" applyFont="1" applyFill="1" applyBorder="1" applyAlignment="1">
      <alignment horizontal="right" vertical="center" indent="1"/>
    </xf>
    <xf numFmtId="3" fontId="17" fillId="10" borderId="11" xfId="0" applyNumberFormat="1" applyFont="1" applyFill="1" applyBorder="1" applyAlignment="1">
      <alignment vertical="center"/>
    </xf>
    <xf numFmtId="0" fontId="17" fillId="10" borderId="11" xfId="0" applyFont="1" applyFill="1" applyBorder="1" applyAlignment="1">
      <alignment vertical="center"/>
    </xf>
    <xf numFmtId="0" fontId="17" fillId="10" borderId="24" xfId="0" applyFont="1" applyFill="1" applyBorder="1" applyAlignment="1">
      <alignment vertical="center"/>
    </xf>
    <xf numFmtId="3" fontId="17" fillId="10" borderId="24" xfId="0" applyNumberFormat="1" applyFont="1" applyFill="1" applyBorder="1" applyAlignment="1">
      <alignment vertical="center"/>
    </xf>
    <xf numFmtId="0" fontId="66" fillId="0" borderId="0" xfId="0" applyFont="1" applyAlignment="1">
      <alignment vertical="top"/>
    </xf>
    <xf numFmtId="0" fontId="68" fillId="0" borderId="1" xfId="0" applyFont="1" applyBorder="1"/>
    <xf numFmtId="0" fontId="68" fillId="0" borderId="2" xfId="0" applyFont="1" applyBorder="1"/>
    <xf numFmtId="0" fontId="68" fillId="0" borderId="3" xfId="0" applyFont="1" applyBorder="1"/>
    <xf numFmtId="0" fontId="69" fillId="0" borderId="0" xfId="0" applyFont="1"/>
    <xf numFmtId="0" fontId="69" fillId="25" borderId="1" xfId="0" applyFont="1" applyFill="1" applyBorder="1"/>
    <xf numFmtId="0" fontId="69" fillId="25" borderId="2" xfId="0" applyFont="1" applyFill="1" applyBorder="1"/>
    <xf numFmtId="0" fontId="69" fillId="25" borderId="3" xfId="0" applyFont="1" applyFill="1" applyBorder="1"/>
    <xf numFmtId="0" fontId="68" fillId="0" borderId="8" xfId="0" applyFont="1" applyBorder="1" applyAlignment="1">
      <alignment horizontal="center" vertical="center"/>
    </xf>
    <xf numFmtId="0" fontId="68" fillId="0" borderId="0" xfId="0" applyFont="1" applyAlignment="1">
      <alignment horizontal="center" vertical="center"/>
    </xf>
    <xf numFmtId="0" fontId="68" fillId="0" borderId="12" xfId="0" applyFont="1" applyBorder="1" applyAlignment="1">
      <alignment horizontal="center" vertical="center"/>
    </xf>
    <xf numFmtId="0" fontId="70" fillId="0" borderId="0" xfId="0" applyFont="1" applyAlignment="1">
      <alignment horizontal="center" vertical="center"/>
    </xf>
    <xf numFmtId="0" fontId="70" fillId="0" borderId="8" xfId="0" applyFont="1" applyBorder="1" applyAlignment="1">
      <alignment horizontal="center" vertical="center"/>
    </xf>
    <xf numFmtId="0" fontId="70" fillId="0" borderId="12" xfId="0" applyFont="1" applyBorder="1" applyAlignment="1">
      <alignment horizontal="center" vertical="center"/>
    </xf>
    <xf numFmtId="0" fontId="68" fillId="0" borderId="8" xfId="0" applyFont="1" applyBorder="1"/>
    <xf numFmtId="0" fontId="68" fillId="0" borderId="0" xfId="0" applyFont="1"/>
    <xf numFmtId="0" fontId="68" fillId="0" borderId="12" xfId="0" applyFont="1" applyBorder="1"/>
    <xf numFmtId="0" fontId="71" fillId="0" borderId="8" xfId="0" applyFont="1" applyBorder="1"/>
    <xf numFmtId="0" fontId="71" fillId="0" borderId="0" xfId="0" applyFont="1"/>
    <xf numFmtId="2" fontId="71" fillId="0" borderId="12" xfId="0" applyNumberFormat="1" applyFont="1" applyBorder="1"/>
    <xf numFmtId="2" fontId="72" fillId="0" borderId="0" xfId="0" applyNumberFormat="1" applyFont="1"/>
    <xf numFmtId="0" fontId="72" fillId="0" borderId="0" xfId="0" applyFont="1"/>
    <xf numFmtId="0" fontId="71" fillId="0" borderId="8" xfId="0" applyFont="1" applyBorder="1" applyAlignment="1">
      <alignment horizontal="left"/>
    </xf>
    <xf numFmtId="0" fontId="71" fillId="0" borderId="0" xfId="0" applyFont="1" applyAlignment="1">
      <alignment horizontal="right" wrapText="1"/>
    </xf>
    <xf numFmtId="0" fontId="72" fillId="0" borderId="0" xfId="0" applyFont="1" applyAlignment="1">
      <alignment horizontal="left"/>
    </xf>
    <xf numFmtId="0" fontId="73" fillId="0" borderId="8" xfId="0" applyFont="1" applyBorder="1" applyAlignment="1">
      <alignment horizontal="right"/>
    </xf>
    <xf numFmtId="0" fontId="73" fillId="0" borderId="0" xfId="0" applyFont="1" applyAlignment="1">
      <alignment horizontal="right"/>
    </xf>
    <xf numFmtId="0" fontId="74" fillId="0" borderId="0" xfId="0" applyFont="1" applyAlignment="1">
      <alignment horizontal="right"/>
    </xf>
    <xf numFmtId="11" fontId="74" fillId="0" borderId="0" xfId="0" applyNumberFormat="1" applyFont="1" applyAlignment="1">
      <alignment horizontal="right"/>
    </xf>
    <xf numFmtId="0" fontId="71" fillId="0" borderId="0" xfId="0" applyFont="1" applyAlignment="1">
      <alignment horizontal="left"/>
    </xf>
    <xf numFmtId="0" fontId="71" fillId="0" borderId="8" xfId="0" applyFont="1" applyBorder="1" applyAlignment="1">
      <alignment horizontal="right"/>
    </xf>
    <xf numFmtId="0" fontId="71" fillId="0" borderId="0" xfId="0" applyFont="1" applyAlignment="1">
      <alignment horizontal="right"/>
    </xf>
    <xf numFmtId="0" fontId="72" fillId="0" borderId="0" xfId="0" applyFont="1" applyAlignment="1">
      <alignment horizontal="right"/>
    </xf>
    <xf numFmtId="2" fontId="68" fillId="0" borderId="12" xfId="0" applyNumberFormat="1" applyFont="1" applyBorder="1"/>
    <xf numFmtId="2" fontId="69" fillId="0" borderId="0" xfId="0" applyNumberFormat="1" applyFont="1"/>
    <xf numFmtId="0" fontId="71" fillId="0" borderId="8" xfId="0" applyFont="1" applyBorder="1" applyAlignment="1">
      <alignment horizontal="right" wrapText="1"/>
    </xf>
    <xf numFmtId="0" fontId="72" fillId="0" borderId="0" xfId="0" applyFont="1" applyAlignment="1">
      <alignment horizontal="right" wrapText="1"/>
    </xf>
    <xf numFmtId="0" fontId="68" fillId="0" borderId="9" xfId="0" applyFont="1" applyBorder="1"/>
    <xf numFmtId="0" fontId="68" fillId="0" borderId="10" xfId="0" applyFont="1" applyBorder="1"/>
    <xf numFmtId="2" fontId="68" fillId="0" borderId="13" xfId="0" applyNumberFormat="1" applyFont="1" applyBorder="1"/>
    <xf numFmtId="11" fontId="74" fillId="0" borderId="0" xfId="3" applyNumberFormat="1" applyFont="1" applyBorder="1" applyAlignment="1">
      <alignment horizontal="right"/>
    </xf>
    <xf numFmtId="11" fontId="74" fillId="0" borderId="0" xfId="0" applyNumberFormat="1" applyFont="1" applyAlignment="1">
      <alignment horizontal="right" vertical="center"/>
    </xf>
    <xf numFmtId="11" fontId="74" fillId="0" borderId="0" xfId="3" applyNumberFormat="1" applyFont="1" applyBorder="1" applyAlignment="1">
      <alignment horizontal="right" vertical="center"/>
    </xf>
    <xf numFmtId="0" fontId="69" fillId="26" borderId="8" xfId="0" applyFont="1" applyFill="1" applyBorder="1" applyAlignment="1">
      <alignment horizontal="center"/>
    </xf>
    <xf numFmtId="0" fontId="69" fillId="26" borderId="0" xfId="0" applyFont="1" applyFill="1" applyAlignment="1">
      <alignment horizontal="center"/>
    </xf>
    <xf numFmtId="166" fontId="69" fillId="26" borderId="0" xfId="1" applyNumberFormat="1" applyFont="1" applyFill="1" applyBorder="1" applyAlignment="1">
      <alignment horizontal="center"/>
    </xf>
    <xf numFmtId="166" fontId="69" fillId="26" borderId="12" xfId="1" applyNumberFormat="1" applyFont="1" applyFill="1" applyBorder="1" applyAlignment="1">
      <alignment horizontal="center"/>
    </xf>
    <xf numFmtId="11" fontId="72" fillId="0" borderId="8" xfId="3" applyNumberFormat="1" applyFont="1" applyBorder="1" applyAlignment="1">
      <alignment horizontal="center"/>
    </xf>
    <xf numFmtId="11" fontId="72" fillId="0" borderId="0" xfId="3" applyNumberFormat="1" applyFont="1" applyBorder="1" applyAlignment="1">
      <alignment horizontal="center"/>
    </xf>
    <xf numFmtId="11" fontId="72" fillId="0" borderId="12" xfId="3" applyNumberFormat="1" applyFont="1" applyBorder="1" applyAlignment="1">
      <alignment horizontal="center"/>
    </xf>
    <xf numFmtId="11" fontId="0" fillId="0" borderId="8" xfId="0" applyNumberFormat="1" applyBorder="1" applyAlignment="1">
      <alignment horizontal="center"/>
    </xf>
    <xf numFmtId="11" fontId="0" fillId="0" borderId="0" xfId="0" applyNumberFormat="1" applyAlignment="1">
      <alignment horizontal="center"/>
    </xf>
    <xf numFmtId="11" fontId="74" fillId="0" borderId="0" xfId="0" applyNumberFormat="1" applyFont="1" applyAlignment="1">
      <alignment horizontal="center"/>
    </xf>
    <xf numFmtId="11" fontId="74" fillId="0" borderId="0" xfId="3" applyNumberFormat="1" applyFont="1" applyBorder="1" applyAlignment="1">
      <alignment horizontal="center"/>
    </xf>
    <xf numFmtId="11" fontId="0" fillId="0" borderId="12" xfId="0" applyNumberFormat="1" applyBorder="1" applyAlignment="1">
      <alignment horizontal="center"/>
    </xf>
    <xf numFmtId="11" fontId="72" fillId="0" borderId="0" xfId="0" applyNumberFormat="1" applyFont="1" applyAlignment="1">
      <alignment horizontal="center"/>
    </xf>
    <xf numFmtId="11" fontId="72" fillId="0" borderId="0" xfId="1" applyNumberFormat="1" applyFont="1" applyBorder="1" applyAlignment="1">
      <alignment horizontal="center"/>
    </xf>
    <xf numFmtId="11" fontId="69" fillId="26" borderId="8" xfId="0" applyNumberFormat="1" applyFont="1" applyFill="1" applyBorder="1" applyAlignment="1">
      <alignment horizontal="center"/>
    </xf>
    <xf numFmtId="11" fontId="69" fillId="26" borderId="0" xfId="0" applyNumberFormat="1" applyFont="1" applyFill="1" applyAlignment="1">
      <alignment horizontal="center"/>
    </xf>
    <xf numFmtId="11" fontId="69" fillId="26" borderId="0" xfId="1" applyNumberFormat="1" applyFont="1" applyFill="1" applyBorder="1" applyAlignment="1">
      <alignment horizontal="center"/>
    </xf>
    <xf numFmtId="11" fontId="69" fillId="26" borderId="12" xfId="1" applyNumberFormat="1" applyFont="1" applyFill="1" applyBorder="1" applyAlignment="1">
      <alignment horizontal="center"/>
    </xf>
    <xf numFmtId="11" fontId="72" fillId="0" borderId="0" xfId="0" applyNumberFormat="1" applyFont="1" applyAlignment="1">
      <alignment horizontal="center" wrapText="1"/>
    </xf>
    <xf numFmtId="11" fontId="69" fillId="26" borderId="9" xfId="1" applyNumberFormat="1" applyFont="1" applyFill="1" applyBorder="1" applyAlignment="1">
      <alignment horizontal="center"/>
    </xf>
    <xf numFmtId="11" fontId="69" fillId="26" borderId="10" xfId="1" applyNumberFormat="1" applyFont="1" applyFill="1" applyBorder="1" applyAlignment="1">
      <alignment horizontal="center"/>
    </xf>
    <xf numFmtId="11" fontId="69" fillId="26" borderId="13" xfId="1" applyNumberFormat="1" applyFont="1" applyFill="1" applyBorder="1" applyAlignment="1">
      <alignment horizontal="center"/>
    </xf>
    <xf numFmtId="11" fontId="16" fillId="0" borderId="8" xfId="0" applyNumberFormat="1" applyFont="1" applyBorder="1" applyAlignment="1">
      <alignment horizontal="right" vertical="center"/>
    </xf>
    <xf numFmtId="11" fontId="73" fillId="0" borderId="0" xfId="3" applyNumberFormat="1" applyFont="1" applyAlignment="1">
      <alignment horizontal="right" vertical="center"/>
    </xf>
    <xf numFmtId="11" fontId="74" fillId="0" borderId="0" xfId="3" applyNumberFormat="1" applyFont="1" applyAlignment="1">
      <alignment horizontal="right" vertical="center"/>
    </xf>
    <xf numFmtId="11" fontId="16" fillId="0" borderId="12" xfId="0" applyNumberFormat="1" applyFont="1" applyBorder="1" applyAlignment="1">
      <alignment horizontal="right" vertical="center"/>
    </xf>
    <xf numFmtId="11" fontId="16" fillId="0" borderId="0" xfId="0" applyNumberFormat="1" applyFont="1" applyAlignment="1">
      <alignment horizontal="right" vertical="center"/>
    </xf>
    <xf numFmtId="11" fontId="74" fillId="0" borderId="8" xfId="3" applyNumberFormat="1" applyFont="1" applyBorder="1" applyAlignment="1">
      <alignment horizontal="right"/>
    </xf>
    <xf numFmtId="11" fontId="74" fillId="0" borderId="12" xfId="3" applyNumberFormat="1" applyFont="1" applyBorder="1" applyAlignment="1">
      <alignment horizontal="right"/>
    </xf>
    <xf numFmtId="11" fontId="16" fillId="0" borderId="8" xfId="0" applyNumberFormat="1" applyFont="1" applyBorder="1" applyAlignment="1">
      <alignment horizontal="right"/>
    </xf>
    <xf numFmtId="11" fontId="73" fillId="0" borderId="0" xfId="3" applyNumberFormat="1" applyFont="1" applyAlignment="1">
      <alignment horizontal="right"/>
    </xf>
    <xf numFmtId="11" fontId="74" fillId="0" borderId="0" xfId="3" applyNumberFormat="1" applyFont="1" applyAlignment="1">
      <alignment horizontal="right"/>
    </xf>
    <xf numFmtId="11" fontId="16" fillId="0" borderId="12" xfId="0" applyNumberFormat="1" applyFont="1" applyBorder="1" applyAlignment="1">
      <alignment horizontal="right"/>
    </xf>
    <xf numFmtId="11" fontId="16" fillId="0" borderId="0" xfId="0" applyNumberFormat="1" applyFont="1" applyAlignment="1">
      <alignment horizontal="right"/>
    </xf>
    <xf numFmtId="11" fontId="74" fillId="0" borderId="0" xfId="0" applyNumberFormat="1" applyFont="1" applyAlignment="1">
      <alignment horizontal="right" wrapText="1"/>
    </xf>
    <xf numFmtId="0" fontId="0" fillId="24" borderId="10" xfId="0" applyFill="1" applyBorder="1"/>
    <xf numFmtId="0" fontId="17" fillId="36" borderId="8" xfId="0" applyFont="1" applyFill="1" applyBorder="1"/>
    <xf numFmtId="0" fontId="0" fillId="36" borderId="12" xfId="0" applyFill="1" applyBorder="1"/>
    <xf numFmtId="0" fontId="0" fillId="36" borderId="1" xfId="0" applyFill="1" applyBorder="1"/>
    <xf numFmtId="0" fontId="0" fillId="36" borderId="2" xfId="0" applyFill="1" applyBorder="1"/>
    <xf numFmtId="0" fontId="0" fillId="36" borderId="3" xfId="0" applyFill="1" applyBorder="1"/>
    <xf numFmtId="0" fontId="0" fillId="24" borderId="8" xfId="0" applyFill="1" applyBorder="1"/>
    <xf numFmtId="0" fontId="0" fillId="36" borderId="8" xfId="0" applyFill="1" applyBorder="1"/>
    <xf numFmtId="48" fontId="0" fillId="0" borderId="7" xfId="0" applyNumberFormat="1" applyBorder="1"/>
    <xf numFmtId="171" fontId="0" fillId="0" borderId="0" xfId="0" applyNumberFormat="1"/>
    <xf numFmtId="11" fontId="0" fillId="0" borderId="0" xfId="0" applyNumberFormat="1"/>
    <xf numFmtId="11" fontId="73" fillId="0" borderId="0" xfId="3" applyNumberFormat="1" applyFont="1" applyBorder="1" applyAlignment="1">
      <alignment horizontal="right"/>
    </xf>
    <xf numFmtId="11" fontId="0" fillId="0" borderId="10" xfId="0" applyNumberFormat="1" applyBorder="1"/>
    <xf numFmtId="11" fontId="0" fillId="0" borderId="13" xfId="0" applyNumberFormat="1" applyBorder="1"/>
    <xf numFmtId="11" fontId="0" fillId="0" borderId="5" xfId="0" applyNumberFormat="1" applyBorder="1"/>
    <xf numFmtId="11" fontId="0" fillId="0" borderId="6" xfId="0" applyNumberFormat="1" applyBorder="1"/>
    <xf numFmtId="11" fontId="0" fillId="0" borderId="4" xfId="0" applyNumberFormat="1" applyBorder="1"/>
    <xf numFmtId="0" fontId="75" fillId="37" borderId="76" xfId="0" applyFont="1" applyFill="1" applyBorder="1"/>
    <xf numFmtId="3" fontId="51" fillId="0" borderId="76" xfId="0" applyNumberFormat="1" applyFont="1" applyBorder="1"/>
    <xf numFmtId="0" fontId="51" fillId="0" borderId="76" xfId="0" applyFont="1" applyBorder="1"/>
    <xf numFmtId="0" fontId="75" fillId="0" borderId="0" xfId="0" applyFont="1"/>
    <xf numFmtId="0" fontId="35" fillId="0" borderId="0" xfId="0" applyFont="1"/>
    <xf numFmtId="0" fontId="75" fillId="0" borderId="76" xfId="0" applyFont="1" applyBorder="1"/>
    <xf numFmtId="171" fontId="17" fillId="10" borderId="14" xfId="0" applyNumberFormat="1" applyFont="1" applyFill="1" applyBorder="1"/>
    <xf numFmtId="0" fontId="2" fillId="0" borderId="8" xfId="0" applyFont="1" applyBorder="1" applyAlignment="1">
      <alignment horizontal="left" vertical="center" indent="1"/>
    </xf>
    <xf numFmtId="0" fontId="0" fillId="0" borderId="8" xfId="0" applyBorder="1" applyAlignment="1">
      <alignment horizontal="left" vertical="center" indent="2"/>
    </xf>
    <xf numFmtId="0" fontId="0" fillId="0" borderId="9" xfId="0" applyBorder="1" applyAlignment="1">
      <alignment horizontal="left" vertical="center" indent="2"/>
    </xf>
    <xf numFmtId="0" fontId="29" fillId="0" borderId="0" xfId="0" applyFont="1" applyAlignment="1">
      <alignment horizontal="left" vertical="center"/>
    </xf>
    <xf numFmtId="0" fontId="17" fillId="0" borderId="7" xfId="1" applyNumberFormat="1" applyFont="1" applyBorder="1"/>
    <xf numFmtId="0" fontId="17" fillId="0" borderId="14" xfId="1" applyNumberFormat="1" applyFont="1" applyBorder="1"/>
    <xf numFmtId="0" fontId="17" fillId="0" borderId="24" xfId="1" applyNumberFormat="1" applyFont="1" applyBorder="1"/>
    <xf numFmtId="171" fontId="38" fillId="28" borderId="13" xfId="0" applyNumberFormat="1" applyFont="1" applyFill="1" applyBorder="1"/>
    <xf numFmtId="0" fontId="76" fillId="0" borderId="0" xfId="0" applyFont="1" applyAlignment="1">
      <alignment vertical="center"/>
    </xf>
    <xf numFmtId="0" fontId="2" fillId="0" borderId="6"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12" xfId="0" applyFont="1" applyBorder="1" applyAlignment="1">
      <alignment vertical="center"/>
    </xf>
    <xf numFmtId="3" fontId="0" fillId="0" borderId="0" xfId="1" applyNumberFormat="1" applyFont="1" applyBorder="1" applyAlignment="1">
      <alignment horizontal="right" vertical="center" indent="1"/>
    </xf>
    <xf numFmtId="0" fontId="0" fillId="0" borderId="4" xfId="1" applyNumberFormat="1" applyFont="1" applyFill="1" applyBorder="1" applyAlignment="1">
      <alignment horizontal="right" vertical="center" indent="1"/>
    </xf>
    <xf numFmtId="0" fontId="0" fillId="0" borderId="5" xfId="1" applyNumberFormat="1" applyFont="1" applyFill="1" applyBorder="1" applyAlignment="1">
      <alignment horizontal="right" vertical="center" indent="1"/>
    </xf>
    <xf numFmtId="0" fontId="0" fillId="0" borderId="6" xfId="1" applyNumberFormat="1" applyFont="1" applyFill="1" applyBorder="1" applyAlignment="1">
      <alignment horizontal="right" vertical="center" indent="1"/>
    </xf>
    <xf numFmtId="9" fontId="0" fillId="9" borderId="4" xfId="1" applyFont="1" applyFill="1" applyBorder="1" applyAlignment="1">
      <alignment horizontal="center" vertical="center"/>
    </xf>
    <xf numFmtId="9" fontId="0" fillId="9" borderId="5" xfId="1" applyFont="1" applyFill="1" applyBorder="1" applyAlignment="1">
      <alignment horizontal="center" vertical="center"/>
    </xf>
    <xf numFmtId="9" fontId="0" fillId="9" borderId="6" xfId="1" applyFont="1" applyFill="1" applyBorder="1" applyAlignment="1">
      <alignment horizontal="center" vertical="center"/>
    </xf>
    <xf numFmtId="0" fontId="77" fillId="0" borderId="0" xfId="0" applyFont="1" applyAlignment="1">
      <alignment vertical="center"/>
    </xf>
    <xf numFmtId="0" fontId="79" fillId="0" borderId="0" xfId="4" applyFont="1" applyAlignment="1">
      <alignment vertical="center"/>
    </xf>
    <xf numFmtId="9" fontId="78" fillId="0" borderId="0" xfId="0" applyNumberFormat="1" applyFont="1" applyAlignment="1">
      <alignment horizontal="center"/>
    </xf>
    <xf numFmtId="9" fontId="78" fillId="0" borderId="0" xfId="1" applyFont="1" applyFill="1" applyBorder="1" applyAlignment="1">
      <alignment horizontal="center" vertical="center"/>
    </xf>
    <xf numFmtId="9" fontId="77" fillId="0" borderId="0" xfId="1" applyFont="1" applyFill="1" applyBorder="1" applyAlignment="1">
      <alignment horizontal="center" vertical="center"/>
    </xf>
    <xf numFmtId="168" fontId="0" fillId="0" borderId="0" xfId="0" applyNumberFormat="1"/>
    <xf numFmtId="0" fontId="2" fillId="29" borderId="77" xfId="0" applyFont="1" applyFill="1" applyBorder="1"/>
    <xf numFmtId="0" fontId="2" fillId="29" borderId="78" xfId="0" applyFont="1" applyFill="1" applyBorder="1" applyAlignment="1">
      <alignment horizontal="center" vertical="center"/>
    </xf>
    <xf numFmtId="0" fontId="2" fillId="29" borderId="79" xfId="0" applyFont="1" applyFill="1" applyBorder="1" applyAlignment="1">
      <alignment horizontal="center" vertical="center"/>
    </xf>
    <xf numFmtId="0" fontId="2" fillId="29" borderId="80" xfId="0" applyFont="1" applyFill="1" applyBorder="1"/>
    <xf numFmtId="164" fontId="2" fillId="29" borderId="66" xfId="1" applyNumberFormat="1" applyFont="1" applyFill="1" applyBorder="1" applyAlignment="1">
      <alignment horizontal="center" vertical="center"/>
    </xf>
    <xf numFmtId="164" fontId="2" fillId="18" borderId="66" xfId="1" applyNumberFormat="1" applyFont="1" applyFill="1" applyBorder="1" applyAlignment="1">
      <alignment horizontal="center" vertical="center"/>
    </xf>
    <xf numFmtId="164" fontId="2" fillId="18" borderId="81" xfId="1" applyNumberFormat="1" applyFont="1" applyFill="1" applyBorder="1" applyAlignment="1">
      <alignment horizontal="center" vertical="center"/>
    </xf>
    <xf numFmtId="0" fontId="0" fillId="29" borderId="80" xfId="0" applyFill="1" applyBorder="1"/>
    <xf numFmtId="164" fontId="0" fillId="29" borderId="66" xfId="1" applyNumberFormat="1" applyFont="1" applyFill="1" applyBorder="1" applyAlignment="1">
      <alignment horizontal="center" vertical="center"/>
    </xf>
    <xf numFmtId="164" fontId="0" fillId="18" borderId="66" xfId="1" applyNumberFormat="1" applyFont="1" applyFill="1" applyBorder="1" applyAlignment="1">
      <alignment horizontal="center" vertical="center"/>
    </xf>
    <xf numFmtId="164" fontId="0" fillId="18" borderId="81" xfId="1" applyNumberFormat="1" applyFont="1" applyFill="1" applyBorder="1" applyAlignment="1">
      <alignment horizontal="center" vertical="center"/>
    </xf>
    <xf numFmtId="0" fontId="16" fillId="29" borderId="80" xfId="0" applyFont="1" applyFill="1" applyBorder="1" applyAlignment="1">
      <alignment horizontal="right"/>
    </xf>
    <xf numFmtId="0" fontId="16" fillId="29" borderId="80" xfId="0" applyFont="1" applyFill="1" applyBorder="1" applyAlignment="1">
      <alignment horizontal="right" wrapText="1"/>
    </xf>
    <xf numFmtId="0" fontId="0" fillId="29" borderId="80" xfId="0" applyFill="1" applyBorder="1" applyAlignment="1">
      <alignment horizontal="left"/>
    </xf>
    <xf numFmtId="0" fontId="0" fillId="29" borderId="82" xfId="0" applyFill="1" applyBorder="1"/>
    <xf numFmtId="164" fontId="0" fillId="29" borderId="83" xfId="1" applyNumberFormat="1" applyFont="1" applyFill="1" applyBorder="1" applyAlignment="1">
      <alignment horizontal="center" vertical="center"/>
    </xf>
    <xf numFmtId="164" fontId="0" fillId="18" borderId="83" xfId="1" applyNumberFormat="1" applyFont="1" applyFill="1" applyBorder="1" applyAlignment="1">
      <alignment horizontal="center" vertical="center"/>
    </xf>
    <xf numFmtId="164" fontId="0" fillId="18" borderId="84" xfId="1" applyNumberFormat="1" applyFont="1" applyFill="1" applyBorder="1" applyAlignment="1">
      <alignment horizontal="center" vertical="center"/>
    </xf>
    <xf numFmtId="0" fontId="2" fillId="16" borderId="7" xfId="0" applyFont="1" applyFill="1" applyBorder="1" applyAlignment="1">
      <alignment horizontal="center"/>
    </xf>
    <xf numFmtId="0" fontId="49" fillId="0" borderId="0" xfId="4" applyFont="1" applyAlignment="1">
      <alignment vertical="center"/>
    </xf>
    <xf numFmtId="0" fontId="0" fillId="0" borderId="80" xfId="0" applyBorder="1"/>
    <xf numFmtId="0" fontId="16" fillId="0" borderId="80" xfId="0" applyFont="1" applyBorder="1" applyAlignment="1">
      <alignment horizontal="right"/>
    </xf>
    <xf numFmtId="0" fontId="16" fillId="0" borderId="80" xfId="0" applyFont="1" applyBorder="1" applyAlignment="1">
      <alignment horizontal="right" wrapText="1"/>
    </xf>
    <xf numFmtId="0" fontId="0" fillId="0" borderId="80" xfId="0" applyBorder="1" applyAlignment="1">
      <alignment horizontal="left"/>
    </xf>
    <xf numFmtId="0" fontId="0" fillId="0" borderId="82" xfId="0" applyBorder="1"/>
    <xf numFmtId="0" fontId="0" fillId="0" borderId="85" xfId="0" applyBorder="1"/>
    <xf numFmtId="9" fontId="0" fillId="0" borderId="86" xfId="1" applyFont="1" applyFill="1" applyBorder="1" applyAlignment="1">
      <alignment horizontal="center" vertical="center"/>
    </xf>
    <xf numFmtId="48" fontId="39" fillId="29" borderId="8" xfId="0" applyNumberFormat="1" applyFont="1" applyFill="1" applyBorder="1"/>
    <xf numFmtId="48" fontId="39" fillId="29" borderId="9" xfId="0" applyNumberFormat="1" applyFont="1" applyFill="1" applyBorder="1"/>
    <xf numFmtId="48" fontId="38" fillId="29" borderId="2" xfId="0" applyNumberFormat="1" applyFont="1" applyFill="1" applyBorder="1"/>
    <xf numFmtId="0" fontId="81" fillId="0" borderId="0" xfId="0" applyFont="1"/>
    <xf numFmtId="0" fontId="0" fillId="0" borderId="5" xfId="1" applyNumberFormat="1" applyFont="1" applyBorder="1"/>
    <xf numFmtId="2" fontId="0" fillId="0" borderId="5" xfId="1" applyNumberFormat="1" applyFont="1" applyBorder="1"/>
    <xf numFmtId="0" fontId="0" fillId="0" borderId="0" xfId="1" applyNumberFormat="1" applyFont="1" applyBorder="1"/>
    <xf numFmtId="0" fontId="0" fillId="0" borderId="1" xfId="1" applyNumberFormat="1" applyFont="1" applyFill="1" applyBorder="1" applyAlignment="1">
      <alignment horizontal="right" vertical="center" indent="1"/>
    </xf>
    <xf numFmtId="0" fontId="0" fillId="0" borderId="2" xfId="1" applyNumberFormat="1" applyFont="1" applyFill="1" applyBorder="1" applyAlignment="1">
      <alignment horizontal="right" vertical="center" indent="1"/>
    </xf>
    <xf numFmtId="0" fontId="0" fillId="0" borderId="3" xfId="1" applyNumberFormat="1" applyFont="1" applyFill="1" applyBorder="1" applyAlignment="1">
      <alignment horizontal="right" vertical="center" indent="1"/>
    </xf>
    <xf numFmtId="0" fontId="0" fillId="0" borderId="1" xfId="1" applyNumberFormat="1" applyFont="1" applyFill="1" applyBorder="1" applyAlignment="1">
      <alignment horizontal="center" vertical="center"/>
    </xf>
    <xf numFmtId="0" fontId="0" fillId="0" borderId="2" xfId="1" applyNumberFormat="1" applyFont="1" applyFill="1" applyBorder="1" applyAlignment="1">
      <alignment horizontal="center" vertical="center"/>
    </xf>
    <xf numFmtId="0" fontId="0" fillId="0" borderId="3" xfId="1" applyNumberFormat="1" applyFont="1" applyFill="1" applyBorder="1" applyAlignment="1">
      <alignment horizontal="center" vertical="center"/>
    </xf>
    <xf numFmtId="0" fontId="34" fillId="0" borderId="0" xfId="2" applyFont="1" applyFill="1" applyBorder="1"/>
    <xf numFmtId="0" fontId="7" fillId="10" borderId="4" xfId="0" applyFont="1" applyFill="1" applyBorder="1"/>
    <xf numFmtId="0" fontId="7" fillId="10" borderId="5" xfId="0" applyFont="1" applyFill="1" applyBorder="1"/>
    <xf numFmtId="0" fontId="7" fillId="10" borderId="6" xfId="0" applyFont="1" applyFill="1" applyBorder="1"/>
    <xf numFmtId="0" fontId="7" fillId="0" borderId="10" xfId="0" applyFont="1" applyBorder="1" applyAlignment="1">
      <alignment horizontal="center"/>
    </xf>
    <xf numFmtId="1" fontId="7" fillId="10" borderId="8" xfId="0" applyNumberFormat="1" applyFont="1" applyFill="1" applyBorder="1" applyAlignment="1">
      <alignment horizontal="right" vertical="center" indent="1"/>
    </xf>
    <xf numFmtId="166" fontId="7" fillId="0" borderId="9" xfId="0" applyNumberFormat="1" applyFont="1" applyBorder="1"/>
    <xf numFmtId="166" fontId="7" fillId="0" borderId="10" xfId="1" applyNumberFormat="1" applyFont="1" applyBorder="1"/>
    <xf numFmtId="3" fontId="0" fillId="0" borderId="1" xfId="1" applyNumberFormat="1" applyFont="1" applyBorder="1" applyAlignment="1">
      <alignment horizontal="right" vertical="center" indent="1"/>
    </xf>
    <xf numFmtId="3" fontId="0" fillId="0" borderId="2" xfId="1" applyNumberFormat="1" applyFont="1" applyBorder="1" applyAlignment="1">
      <alignment horizontal="right" vertical="center" indent="1"/>
    </xf>
    <xf numFmtId="3" fontId="0" fillId="0" borderId="3" xfId="1" applyNumberFormat="1" applyFont="1" applyBorder="1" applyAlignment="1">
      <alignment horizontal="right" vertical="center" indent="1"/>
    </xf>
    <xf numFmtId="3" fontId="0" fillId="0" borderId="8" xfId="1" applyNumberFormat="1" applyFont="1" applyBorder="1" applyAlignment="1">
      <alignment horizontal="right" vertical="center" indent="1"/>
    </xf>
    <xf numFmtId="3" fontId="0" fillId="0" borderId="12" xfId="1" applyNumberFormat="1" applyFont="1" applyBorder="1" applyAlignment="1">
      <alignment horizontal="right" vertical="center" indent="1"/>
    </xf>
    <xf numFmtId="3" fontId="0" fillId="0" borderId="4" xfId="1" applyNumberFormat="1" applyFont="1" applyBorder="1" applyAlignment="1">
      <alignment horizontal="right" vertical="center" indent="1"/>
    </xf>
    <xf numFmtId="3" fontId="0" fillId="0" borderId="5" xfId="1" applyNumberFormat="1" applyFont="1" applyBorder="1" applyAlignment="1">
      <alignment horizontal="right" vertical="center" indent="1"/>
    </xf>
    <xf numFmtId="3" fontId="0" fillId="0" borderId="6" xfId="1" applyNumberFormat="1" applyFont="1" applyBorder="1" applyAlignment="1">
      <alignment horizontal="right" vertical="center" indent="1"/>
    </xf>
    <xf numFmtId="43" fontId="0" fillId="0" borderId="2" xfId="0" applyNumberFormat="1" applyBorder="1"/>
    <xf numFmtId="43" fontId="0" fillId="0" borderId="3" xfId="0" applyNumberFormat="1" applyBorder="1"/>
    <xf numFmtId="2" fontId="49" fillId="31" borderId="0" xfId="0" applyNumberFormat="1" applyFont="1" applyFill="1"/>
    <xf numFmtId="0" fontId="82" fillId="0" borderId="6" xfId="0" applyFont="1" applyBorder="1"/>
    <xf numFmtId="2" fontId="49" fillId="31" borderId="1" xfId="0" applyNumberFormat="1" applyFont="1" applyFill="1" applyBorder="1"/>
    <xf numFmtId="2" fontId="49" fillId="31" borderId="2" xfId="0" applyNumberFormat="1" applyFont="1" applyFill="1" applyBorder="1"/>
    <xf numFmtId="0" fontId="44" fillId="0" borderId="3" xfId="0" applyFont="1" applyBorder="1"/>
    <xf numFmtId="0" fontId="44" fillId="0" borderId="12" xfId="0" applyFont="1" applyBorder="1"/>
    <xf numFmtId="0" fontId="82" fillId="0" borderId="3" xfId="0" applyFont="1" applyBorder="1"/>
    <xf numFmtId="0" fontId="45" fillId="10" borderId="1" xfId="0" applyFont="1" applyFill="1" applyBorder="1"/>
    <xf numFmtId="0" fontId="45" fillId="10" borderId="9" xfId="0" applyFont="1" applyFill="1" applyBorder="1"/>
    <xf numFmtId="0" fontId="0" fillId="10" borderId="10" xfId="0" applyFill="1" applyBorder="1"/>
    <xf numFmtId="0" fontId="0" fillId="10" borderId="13" xfId="0" applyFill="1" applyBorder="1"/>
    <xf numFmtId="0" fontId="83" fillId="30" borderId="3" xfId="0" applyFont="1" applyFill="1" applyBorder="1"/>
    <xf numFmtId="0" fontId="36" fillId="24" borderId="1" xfId="0" applyFont="1" applyFill="1" applyBorder="1"/>
    <xf numFmtId="0" fontId="36" fillId="24" borderId="2" xfId="0" applyFont="1" applyFill="1" applyBorder="1"/>
    <xf numFmtId="48" fontId="36" fillId="26" borderId="0" xfId="1" applyNumberFormat="1" applyFont="1" applyFill="1" applyBorder="1"/>
    <xf numFmtId="48" fontId="36" fillId="28" borderId="0" xfId="0" applyNumberFormat="1" applyFont="1" applyFill="1"/>
    <xf numFmtId="166" fontId="36" fillId="24" borderId="2" xfId="1" applyNumberFormat="1" applyFont="1" applyFill="1" applyBorder="1"/>
    <xf numFmtId="0" fontId="2" fillId="24" borderId="3" xfId="0" applyFont="1" applyFill="1" applyBorder="1"/>
    <xf numFmtId="171" fontId="38" fillId="28" borderId="10" xfId="0" applyNumberFormat="1" applyFont="1" applyFill="1" applyBorder="1"/>
    <xf numFmtId="48" fontId="36" fillId="10" borderId="0" xfId="1" applyNumberFormat="1" applyFont="1" applyFill="1" applyBorder="1"/>
    <xf numFmtId="0" fontId="7" fillId="0" borderId="1" xfId="0" applyFont="1" applyBorder="1" applyAlignment="1">
      <alignment horizontal="center"/>
    </xf>
    <xf numFmtId="0" fontId="7" fillId="0" borderId="2" xfId="0" applyFont="1" applyBorder="1" applyAlignment="1">
      <alignment horizontal="center"/>
    </xf>
    <xf numFmtId="3" fontId="0" fillId="9" borderId="6" xfId="0" applyNumberFormat="1" applyFill="1" applyBorder="1" applyAlignment="1">
      <alignment horizontal="center"/>
    </xf>
    <xf numFmtId="0" fontId="43" fillId="0" borderId="8" xfId="0" applyFont="1" applyBorder="1" applyAlignment="1">
      <alignment horizontal="left" indent="2"/>
    </xf>
    <xf numFmtId="0" fontId="17" fillId="0" borderId="1" xfId="0" applyFont="1" applyBorder="1"/>
    <xf numFmtId="0" fontId="17" fillId="9" borderId="8" xfId="0" applyFont="1" applyFill="1" applyBorder="1"/>
    <xf numFmtId="9" fontId="17" fillId="9" borderId="0" xfId="0" applyNumberFormat="1" applyFont="1" applyFill="1"/>
    <xf numFmtId="0" fontId="17" fillId="9" borderId="12" xfId="0" applyFont="1" applyFill="1" applyBorder="1"/>
    <xf numFmtId="48" fontId="39" fillId="9" borderId="8" xfId="0" applyNumberFormat="1" applyFont="1" applyFill="1" applyBorder="1"/>
    <xf numFmtId="171" fontId="39" fillId="9" borderId="8" xfId="0" applyNumberFormat="1" applyFont="1" applyFill="1" applyBorder="1"/>
    <xf numFmtId="0" fontId="0" fillId="22" borderId="4" xfId="0" applyFill="1" applyBorder="1" applyAlignment="1">
      <alignment vertical="center"/>
    </xf>
    <xf numFmtId="0" fontId="0" fillId="22" borderId="5" xfId="0" applyFill="1" applyBorder="1" applyAlignment="1">
      <alignment horizontal="left" vertical="center"/>
    </xf>
    <xf numFmtId="0" fontId="2" fillId="22" borderId="4" xfId="0" applyFont="1" applyFill="1" applyBorder="1"/>
    <xf numFmtId="0" fontId="0" fillId="22" borderId="1" xfId="0" applyFill="1" applyBorder="1"/>
    <xf numFmtId="0" fontId="0" fillId="22" borderId="2" xfId="0" applyFill="1" applyBorder="1"/>
    <xf numFmtId="0" fontId="2" fillId="22" borderId="6" xfId="0" applyFont="1" applyFill="1" applyBorder="1"/>
    <xf numFmtId="0" fontId="53" fillId="0" borderId="1" xfId="0" applyFont="1" applyBorder="1" applyAlignment="1">
      <alignment horizontal="left" vertical="center"/>
    </xf>
    <xf numFmtId="48" fontId="0" fillId="0" borderId="3" xfId="0" applyNumberFormat="1" applyBorder="1"/>
    <xf numFmtId="0" fontId="85" fillId="0" borderId="87" xfId="0" applyFont="1" applyBorder="1"/>
    <xf numFmtId="0" fontId="2" fillId="22" borderId="62" xfId="0" applyFont="1" applyFill="1" applyBorder="1"/>
    <xf numFmtId="0" fontId="0" fillId="22" borderId="65" xfId="0" applyFill="1" applyBorder="1"/>
    <xf numFmtId="164" fontId="0" fillId="22" borderId="66" xfId="0" applyNumberFormat="1" applyFill="1" applyBorder="1"/>
    <xf numFmtId="164" fontId="0" fillId="22" borderId="67" xfId="0" applyNumberFormat="1" applyFill="1" applyBorder="1"/>
    <xf numFmtId="0" fontId="0" fillId="22" borderId="89" xfId="0" applyFill="1" applyBorder="1"/>
    <xf numFmtId="164" fontId="0" fillId="22" borderId="88" xfId="0" applyNumberFormat="1" applyFill="1" applyBorder="1"/>
    <xf numFmtId="164" fontId="0" fillId="22" borderId="90" xfId="0" applyNumberFormat="1" applyFill="1" applyBorder="1"/>
    <xf numFmtId="0" fontId="2" fillId="22" borderId="63" xfId="0" applyFont="1" applyFill="1" applyBorder="1"/>
    <xf numFmtId="0" fontId="2" fillId="22" borderId="64" xfId="0" applyFont="1" applyFill="1" applyBorder="1"/>
    <xf numFmtId="0" fontId="0" fillId="22" borderId="4" xfId="0" applyFill="1" applyBorder="1"/>
    <xf numFmtId="0" fontId="0" fillId="16" borderId="1" xfId="0" applyFill="1" applyBorder="1" applyAlignment="1">
      <alignment horizontal="center" vertical="center"/>
    </xf>
    <xf numFmtId="0" fontId="0" fillId="16" borderId="3" xfId="0" applyFill="1" applyBorder="1" applyAlignment="1">
      <alignment horizontal="center" vertical="center"/>
    </xf>
    <xf numFmtId="0" fontId="0" fillId="16" borderId="2" xfId="0" applyFill="1" applyBorder="1" applyAlignment="1">
      <alignment horizontal="center" vertical="center"/>
    </xf>
    <xf numFmtId="164" fontId="0" fillId="0" borderId="1" xfId="0" applyNumberFormat="1" applyBorder="1" applyAlignment="1">
      <alignment horizontal="right" vertical="center" indent="1"/>
    </xf>
    <xf numFmtId="164" fontId="0" fillId="0" borderId="2" xfId="0" applyNumberFormat="1" applyBorder="1" applyAlignment="1">
      <alignment horizontal="right" vertical="center" indent="1"/>
    </xf>
    <xf numFmtId="164" fontId="0" fillId="4" borderId="3" xfId="0" applyNumberFormat="1" applyFill="1" applyBorder="1" applyAlignment="1">
      <alignment horizontal="right" vertical="center" indent="1"/>
    </xf>
    <xf numFmtId="164" fontId="0" fillId="0" borderId="9" xfId="0" applyNumberFormat="1" applyBorder="1" applyAlignment="1">
      <alignment horizontal="right" vertical="center" indent="1"/>
    </xf>
    <xf numFmtId="166" fontId="0" fillId="0" borderId="10" xfId="1" applyNumberFormat="1" applyFont="1" applyFill="1" applyBorder="1" applyAlignment="1">
      <alignment horizontal="right" vertical="center" indent="1"/>
    </xf>
    <xf numFmtId="166" fontId="0" fillId="0" borderId="13" xfId="1" applyNumberFormat="1" applyFont="1" applyFill="1" applyBorder="1" applyAlignment="1">
      <alignment horizontal="right" vertical="center" indent="1"/>
    </xf>
    <xf numFmtId="0" fontId="0" fillId="18" borderId="2" xfId="0" applyFill="1" applyBorder="1" applyAlignment="1">
      <alignment horizontal="center" vertical="center"/>
    </xf>
    <xf numFmtId="0" fontId="0" fillId="18" borderId="3" xfId="0" applyFill="1" applyBorder="1" applyAlignment="1">
      <alignment horizontal="center" vertical="center"/>
    </xf>
    <xf numFmtId="0" fontId="0" fillId="22" borderId="5" xfId="0" applyFill="1" applyBorder="1"/>
    <xf numFmtId="1" fontId="0" fillId="0" borderId="1" xfId="0" applyNumberFormat="1" applyBorder="1"/>
    <xf numFmtId="1" fontId="0" fillId="0" borderId="2" xfId="0" applyNumberFormat="1" applyBorder="1"/>
    <xf numFmtId="1" fontId="0" fillId="0" borderId="8" xfId="0" applyNumberFormat="1" applyBorder="1"/>
    <xf numFmtId="1" fontId="0" fillId="0" borderId="9" xfId="0" applyNumberFormat="1" applyBorder="1"/>
    <xf numFmtId="1" fontId="0" fillId="0" borderId="10" xfId="0" applyNumberFormat="1" applyBorder="1"/>
    <xf numFmtId="1" fontId="0" fillId="0" borderId="4" xfId="0" applyNumberFormat="1" applyBorder="1"/>
    <xf numFmtId="1" fontId="0" fillId="0" borderId="5" xfId="0" applyNumberFormat="1" applyBorder="1"/>
    <xf numFmtId="1" fontId="0" fillId="0" borderId="6" xfId="0" applyNumberFormat="1" applyBorder="1"/>
    <xf numFmtId="1" fontId="0" fillId="14" borderId="1" xfId="0" applyNumberFormat="1" applyFill="1" applyBorder="1" applyAlignment="1">
      <alignment horizontal="center" vertical="center"/>
    </xf>
    <xf numFmtId="1" fontId="0" fillId="14" borderId="2" xfId="0" applyNumberFormat="1" applyFill="1" applyBorder="1" applyAlignment="1">
      <alignment horizontal="center" vertical="center"/>
    </xf>
    <xf numFmtId="1" fontId="0" fillId="14" borderId="3" xfId="0" applyNumberFormat="1" applyFill="1" applyBorder="1" applyAlignment="1">
      <alignment horizontal="center" vertical="center"/>
    </xf>
    <xf numFmtId="1" fontId="0" fillId="18" borderId="1" xfId="0" applyNumberFormat="1" applyFill="1" applyBorder="1" applyAlignment="1">
      <alignment horizontal="center" vertical="center"/>
    </xf>
    <xf numFmtId="1" fontId="0" fillId="18" borderId="2" xfId="0" applyNumberFormat="1" applyFill="1" applyBorder="1" applyAlignment="1">
      <alignment horizontal="center" vertical="center"/>
    </xf>
    <xf numFmtId="1" fontId="0" fillId="18" borderId="3" xfId="0" applyNumberFormat="1" applyFill="1" applyBorder="1" applyAlignment="1">
      <alignment horizontal="center" vertical="center"/>
    </xf>
    <xf numFmtId="1" fontId="0" fillId="0" borderId="3" xfId="0" applyNumberFormat="1" applyBorder="1"/>
    <xf numFmtId="1" fontId="0" fillId="0" borderId="12" xfId="0" applyNumberFormat="1" applyBorder="1"/>
    <xf numFmtId="1" fontId="0" fillId="0" borderId="13" xfId="0" applyNumberFormat="1" applyBorder="1"/>
    <xf numFmtId="0" fontId="2" fillId="0" borderId="11" xfId="0" applyFont="1" applyBorder="1" applyAlignment="1">
      <alignment horizontal="center"/>
    </xf>
    <xf numFmtId="1" fontId="0" fillId="0" borderId="1" xfId="0" applyNumberFormat="1" applyBorder="1" applyAlignment="1">
      <alignment horizontal="right" vertical="center" indent="1"/>
    </xf>
    <xf numFmtId="1" fontId="0" fillId="0" borderId="2" xfId="0" applyNumberFormat="1" applyBorder="1" applyAlignment="1">
      <alignment horizontal="right" vertical="center" indent="1"/>
    </xf>
    <xf numFmtId="1" fontId="0" fillId="4" borderId="3" xfId="0" applyNumberFormat="1" applyFill="1" applyBorder="1" applyAlignment="1">
      <alignment horizontal="right" vertical="center" indent="1"/>
    </xf>
    <xf numFmtId="1" fontId="0" fillId="0" borderId="10" xfId="1" applyNumberFormat="1" applyFont="1" applyFill="1" applyBorder="1" applyAlignment="1">
      <alignment horizontal="right" vertical="center" indent="1"/>
    </xf>
    <xf numFmtId="1" fontId="0" fillId="0" borderId="13" xfId="1" applyNumberFormat="1" applyFont="1" applyFill="1" applyBorder="1" applyAlignment="1">
      <alignment horizontal="right" vertical="center" indent="1"/>
    </xf>
    <xf numFmtId="172" fontId="7" fillId="0" borderId="13" xfId="1" applyNumberFormat="1" applyFont="1" applyBorder="1"/>
    <xf numFmtId="0" fontId="88" fillId="0" borderId="0" xfId="0" applyFont="1" applyAlignment="1">
      <alignment horizontal="center" vertical="center"/>
    </xf>
    <xf numFmtId="0" fontId="89" fillId="0" borderId="0" xfId="0" applyFont="1"/>
    <xf numFmtId="49" fontId="89" fillId="0" borderId="0" xfId="0" applyNumberFormat="1" applyFont="1" applyAlignment="1">
      <alignment horizontal="right"/>
    </xf>
    <xf numFmtId="173" fontId="89" fillId="0" borderId="0" xfId="0" applyNumberFormat="1" applyFont="1"/>
    <xf numFmtId="174" fontId="89" fillId="0" borderId="0" xfId="0" applyNumberFormat="1" applyFont="1"/>
    <xf numFmtId="173" fontId="7" fillId="0" borderId="0" xfId="0" applyNumberFormat="1" applyFont="1"/>
    <xf numFmtId="175" fontId="7" fillId="0" borderId="0" xfId="0" applyNumberFormat="1" applyFont="1"/>
    <xf numFmtId="176" fontId="7" fillId="0" borderId="0" xfId="0" applyNumberFormat="1" applyFont="1"/>
    <xf numFmtId="0" fontId="0" fillId="23" borderId="11" xfId="1" applyNumberFormat="1" applyFont="1" applyFill="1" applyBorder="1"/>
    <xf numFmtId="0" fontId="0" fillId="23" borderId="5" xfId="1" applyNumberFormat="1" applyFont="1" applyFill="1" applyBorder="1"/>
    <xf numFmtId="0" fontId="63" fillId="10" borderId="0" xfId="0" applyFont="1" applyFill="1"/>
    <xf numFmtId="0" fontId="87" fillId="0" borderId="0" xfId="0" applyFont="1"/>
    <xf numFmtId="0" fontId="14" fillId="0" borderId="2" xfId="0" applyFont="1" applyBorder="1"/>
    <xf numFmtId="4" fontId="90" fillId="30" borderId="2" xfId="0" applyNumberFormat="1" applyFont="1" applyFill="1" applyBorder="1" applyAlignment="1">
      <alignment vertical="center"/>
    </xf>
    <xf numFmtId="0" fontId="35" fillId="30" borderId="0" xfId="0" applyFont="1" applyFill="1" applyAlignment="1">
      <alignment vertical="center"/>
    </xf>
    <xf numFmtId="0" fontId="91" fillId="38" borderId="1" xfId="0" applyFont="1" applyFill="1" applyBorder="1"/>
    <xf numFmtId="0" fontId="92" fillId="38" borderId="8" xfId="0" applyFont="1" applyFill="1" applyBorder="1" applyAlignment="1">
      <alignment horizontal="left" indent="1"/>
    </xf>
    <xf numFmtId="0" fontId="67" fillId="39" borderId="8" xfId="8" applyFont="1" applyFill="1" applyBorder="1"/>
    <xf numFmtId="0" fontId="14" fillId="0" borderId="12" xfId="0" applyFont="1" applyBorder="1"/>
    <xf numFmtId="0" fontId="93" fillId="39" borderId="8" xfId="8" applyFill="1" applyBorder="1" applyAlignment="1">
      <alignment horizontal="left" indent="1"/>
    </xf>
    <xf numFmtId="0" fontId="9" fillId="0" borderId="0" xfId="0" applyFont="1"/>
    <xf numFmtId="0" fontId="94" fillId="40" borderId="8" xfId="0" applyFont="1" applyFill="1" applyBorder="1" applyAlignment="1">
      <alignment horizontal="left"/>
    </xf>
    <xf numFmtId="0" fontId="7" fillId="21" borderId="0" xfId="0" applyFont="1" applyFill="1"/>
    <xf numFmtId="0" fontId="7" fillId="21" borderId="12" xfId="0" applyFont="1" applyFill="1" applyBorder="1"/>
    <xf numFmtId="0" fontId="35" fillId="41" borderId="0" xfId="0" applyFont="1" applyFill="1" applyAlignment="1">
      <alignment vertical="center"/>
    </xf>
    <xf numFmtId="0" fontId="94" fillId="40" borderId="8" xfId="0" applyFont="1" applyFill="1" applyBorder="1" applyAlignment="1">
      <alignment horizontal="left" indent="1"/>
    </xf>
    <xf numFmtId="0" fontId="9" fillId="21" borderId="0" xfId="0" applyFont="1" applyFill="1"/>
    <xf numFmtId="0" fontId="35" fillId="41" borderId="12" xfId="0" applyFont="1" applyFill="1" applyBorder="1" applyAlignment="1">
      <alignment vertical="center"/>
    </xf>
    <xf numFmtId="0" fontId="94" fillId="40" borderId="9" xfId="0" applyFont="1" applyFill="1" applyBorder="1" applyAlignment="1">
      <alignment horizontal="left" indent="1"/>
    </xf>
    <xf numFmtId="0" fontId="7" fillId="21" borderId="10" xfId="0" applyFont="1" applyFill="1" applyBorder="1"/>
    <xf numFmtId="0" fontId="7" fillId="21" borderId="13" xfId="0" applyFont="1" applyFill="1" applyBorder="1"/>
    <xf numFmtId="0" fontId="35" fillId="41" borderId="10" xfId="0" applyFont="1" applyFill="1" applyBorder="1" applyAlignment="1">
      <alignment vertical="center"/>
    </xf>
    <xf numFmtId="0" fontId="35" fillId="41" borderId="13" xfId="0" applyFont="1" applyFill="1" applyBorder="1" applyAlignment="1">
      <alignment vertical="center"/>
    </xf>
    <xf numFmtId="0" fontId="7" fillId="21" borderId="9" xfId="0" applyFont="1" applyFill="1" applyBorder="1"/>
    <xf numFmtId="9" fontId="7" fillId="0" borderId="24" xfId="1" applyFont="1" applyBorder="1"/>
    <xf numFmtId="0" fontId="63" fillId="10" borderId="2" xfId="0" applyFont="1" applyFill="1" applyBorder="1"/>
    <xf numFmtId="3" fontId="34" fillId="10" borderId="2" xfId="0" applyNumberFormat="1" applyFont="1" applyFill="1" applyBorder="1"/>
    <xf numFmtId="0" fontId="7" fillId="10" borderId="9" xfId="0" applyFont="1" applyFill="1" applyBorder="1" applyAlignment="1">
      <alignment vertical="center"/>
    </xf>
    <xf numFmtId="0" fontId="7" fillId="10" borderId="10" xfId="0" applyFont="1" applyFill="1" applyBorder="1" applyAlignment="1">
      <alignment vertical="center"/>
    </xf>
    <xf numFmtId="0" fontId="63" fillId="10" borderId="10" xfId="0" applyFont="1" applyFill="1" applyBorder="1"/>
    <xf numFmtId="3" fontId="34" fillId="10" borderId="10" xfId="0" applyNumberFormat="1" applyFont="1" applyFill="1" applyBorder="1"/>
    <xf numFmtId="0" fontId="7" fillId="10" borderId="1" xfId="0" applyFont="1" applyFill="1" applyBorder="1" applyAlignment="1">
      <alignment vertical="center"/>
    </xf>
    <xf numFmtId="0" fontId="7" fillId="10" borderId="2" xfId="0" applyFont="1" applyFill="1" applyBorder="1" applyAlignment="1">
      <alignment vertical="center"/>
    </xf>
    <xf numFmtId="0" fontId="7" fillId="10" borderId="8" xfId="0" applyFont="1" applyFill="1" applyBorder="1" applyAlignment="1">
      <alignment vertical="center"/>
    </xf>
    <xf numFmtId="0" fontId="7" fillId="0" borderId="7" xfId="1" applyNumberFormat="1" applyFont="1" applyBorder="1"/>
    <xf numFmtId="0" fontId="7" fillId="0" borderId="14" xfId="1" applyNumberFormat="1" applyFont="1" applyBorder="1"/>
    <xf numFmtId="0" fontId="14" fillId="0" borderId="11" xfId="0" applyFont="1" applyBorder="1"/>
    <xf numFmtId="9" fontId="7" fillId="0" borderId="2" xfId="0" applyNumberFormat="1" applyFont="1" applyBorder="1"/>
    <xf numFmtId="9" fontId="7" fillId="0" borderId="0" xfId="0" applyNumberFormat="1" applyFont="1"/>
    <xf numFmtId="9" fontId="7" fillId="0" borderId="10" xfId="0" applyNumberFormat="1" applyFont="1" applyBorder="1"/>
    <xf numFmtId="177" fontId="7" fillId="0" borderId="2" xfId="0" applyNumberFormat="1" applyFont="1" applyBorder="1"/>
    <xf numFmtId="0" fontId="0" fillId="21" borderId="3" xfId="0" applyFill="1" applyBorder="1"/>
    <xf numFmtId="0" fontId="14" fillId="10" borderId="4" xfId="0" applyFont="1" applyFill="1" applyBorder="1"/>
    <xf numFmtId="0" fontId="0" fillId="20" borderId="6" xfId="0" applyFill="1" applyBorder="1"/>
    <xf numFmtId="0" fontId="2" fillId="22" borderId="0" xfId="0" applyFont="1" applyFill="1" applyAlignment="1">
      <alignment wrapText="1"/>
    </xf>
    <xf numFmtId="0" fontId="0" fillId="10" borderId="2" xfId="1" applyNumberFormat="1" applyFont="1" applyFill="1" applyBorder="1"/>
    <xf numFmtId="0" fontId="0" fillId="10" borderId="8" xfId="1" applyNumberFormat="1" applyFont="1" applyFill="1" applyBorder="1"/>
    <xf numFmtId="0" fontId="0" fillId="10" borderId="0" xfId="1" applyNumberFormat="1" applyFont="1" applyFill="1" applyBorder="1"/>
    <xf numFmtId="0" fontId="0" fillId="10" borderId="9" xfId="1" applyNumberFormat="1" applyFont="1" applyFill="1" applyBorder="1"/>
    <xf numFmtId="0" fontId="0" fillId="10" borderId="10" xfId="1" applyNumberFormat="1" applyFont="1" applyFill="1" applyBorder="1"/>
    <xf numFmtId="48" fontId="0" fillId="10" borderId="2" xfId="1" applyNumberFormat="1" applyFont="1" applyFill="1" applyBorder="1"/>
    <xf numFmtId="0" fontId="53" fillId="0" borderId="1" xfId="1" applyNumberFormat="1" applyFont="1" applyBorder="1" applyAlignment="1">
      <alignment horizontal="left" vertical="center"/>
    </xf>
    <xf numFmtId="0" fontId="0" fillId="0" borderId="3" xfId="1" applyNumberFormat="1" applyFont="1" applyBorder="1"/>
    <xf numFmtId="0" fontId="53" fillId="0" borderId="9" xfId="1" applyNumberFormat="1" applyFont="1" applyBorder="1" applyAlignment="1">
      <alignment horizontal="left" vertical="center"/>
    </xf>
    <xf numFmtId="1" fontId="0" fillId="0" borderId="3" xfId="0" applyNumberFormat="1" applyBorder="1" applyAlignment="1">
      <alignment horizontal="center" vertical="center"/>
    </xf>
    <xf numFmtId="1" fontId="2" fillId="0" borderId="13" xfId="0" applyNumberFormat="1" applyFont="1" applyBorder="1" applyAlignment="1">
      <alignment horizontal="center"/>
    </xf>
    <xf numFmtId="3" fontId="0" fillId="5" borderId="9" xfId="0" applyNumberFormat="1" applyFill="1" applyBorder="1" applyAlignment="1">
      <alignment horizontal="center" vertical="center"/>
    </xf>
    <xf numFmtId="3" fontId="0" fillId="5" borderId="10" xfId="0" applyNumberFormat="1" applyFill="1" applyBorder="1" applyAlignment="1">
      <alignment horizontal="center" vertical="center"/>
    </xf>
    <xf numFmtId="3" fontId="0" fillId="5" borderId="13" xfId="0" applyNumberFormat="1" applyFill="1" applyBorder="1" applyAlignment="1">
      <alignment horizontal="center" vertical="center"/>
    </xf>
    <xf numFmtId="3" fontId="0" fillId="0" borderId="3" xfId="0" applyNumberFormat="1" applyBorder="1" applyAlignment="1">
      <alignment horizontal="center" vertical="center"/>
    </xf>
    <xf numFmtId="0" fontId="95" fillId="0" borderId="0" xfId="4" applyFont="1" applyAlignment="1">
      <alignment vertical="center"/>
    </xf>
    <xf numFmtId="167" fontId="0" fillId="10" borderId="0" xfId="3" applyNumberFormat="1" applyFont="1" applyFill="1" applyBorder="1" applyAlignment="1">
      <alignment horizontal="center" vertical="center"/>
    </xf>
    <xf numFmtId="167" fontId="0" fillId="10" borderId="8" xfId="3" applyNumberFormat="1" applyFont="1" applyFill="1" applyBorder="1" applyAlignment="1">
      <alignment horizontal="center" vertical="center"/>
    </xf>
    <xf numFmtId="167" fontId="0" fillId="10" borderId="12" xfId="3" applyNumberFormat="1" applyFont="1" applyFill="1" applyBorder="1" applyAlignment="1">
      <alignment horizontal="center" vertical="center"/>
    </xf>
    <xf numFmtId="167" fontId="0" fillId="10" borderId="9" xfId="3" applyNumberFormat="1" applyFont="1" applyFill="1" applyBorder="1" applyAlignment="1">
      <alignment horizontal="center" vertical="center"/>
    </xf>
    <xf numFmtId="167" fontId="0" fillId="0" borderId="1" xfId="0" applyNumberFormat="1" applyBorder="1"/>
    <xf numFmtId="167" fontId="0" fillId="0" borderId="2" xfId="0" applyNumberFormat="1" applyBorder="1"/>
    <xf numFmtId="167" fontId="0" fillId="0" borderId="3" xfId="0" applyNumberFormat="1" applyBorder="1"/>
    <xf numFmtId="167" fontId="2" fillId="10" borderId="1" xfId="0" applyNumberFormat="1" applyFont="1" applyFill="1" applyBorder="1"/>
    <xf numFmtId="167" fontId="2" fillId="10" borderId="2" xfId="0" applyNumberFormat="1" applyFont="1" applyFill="1" applyBorder="1"/>
    <xf numFmtId="167" fontId="2" fillId="10" borderId="3" xfId="0" applyNumberFormat="1" applyFont="1" applyFill="1" applyBorder="1"/>
    <xf numFmtId="167" fontId="2" fillId="10" borderId="8" xfId="0" applyNumberFormat="1" applyFont="1" applyFill="1" applyBorder="1"/>
    <xf numFmtId="167" fontId="2" fillId="10" borderId="0" xfId="0" applyNumberFormat="1" applyFont="1" applyFill="1"/>
    <xf numFmtId="167" fontId="2" fillId="10" borderId="12" xfId="0" applyNumberFormat="1" applyFont="1" applyFill="1" applyBorder="1"/>
    <xf numFmtId="0" fontId="0" fillId="14" borderId="4" xfId="0" applyFill="1" applyBorder="1" applyAlignment="1">
      <alignment horizontal="center" vertical="center"/>
    </xf>
    <xf numFmtId="0" fontId="0" fillId="14" borderId="5" xfId="0" applyFill="1" applyBorder="1" applyAlignment="1">
      <alignment horizontal="center" vertical="center"/>
    </xf>
    <xf numFmtId="0" fontId="0" fillId="14" borderId="6" xfId="0" applyFill="1" applyBorder="1" applyAlignment="1">
      <alignment horizontal="center" vertical="center"/>
    </xf>
    <xf numFmtId="0" fontId="0" fillId="18" borderId="5" xfId="0" applyFill="1" applyBorder="1" applyAlignment="1">
      <alignment horizontal="center" vertical="center"/>
    </xf>
    <xf numFmtId="0" fontId="0" fillId="18" borderId="6" xfId="0" applyFill="1" applyBorder="1" applyAlignment="1">
      <alignment horizontal="center" vertical="center"/>
    </xf>
    <xf numFmtId="1" fontId="0" fillId="0" borderId="7" xfId="0" applyNumberFormat="1" applyBorder="1"/>
    <xf numFmtId="1" fontId="3" fillId="0" borderId="0" xfId="0" applyNumberFormat="1" applyFont="1" applyAlignment="1">
      <alignment vertical="center"/>
    </xf>
    <xf numFmtId="1" fontId="15" fillId="0" borderId="0" xfId="0" applyNumberFormat="1" applyFont="1" applyAlignment="1">
      <alignment horizontal="center"/>
    </xf>
    <xf numFmtId="1" fontId="2" fillId="21" borderId="4" xfId="0" applyNumberFormat="1" applyFont="1" applyFill="1" applyBorder="1"/>
    <xf numFmtId="1" fontId="2" fillId="21" borderId="5" xfId="0" applyNumberFormat="1" applyFont="1" applyFill="1" applyBorder="1"/>
    <xf numFmtId="1" fontId="0" fillId="21" borderId="1" xfId="0" applyNumberFormat="1" applyFill="1" applyBorder="1" applyAlignment="1">
      <alignment horizontal="center"/>
    </xf>
    <xf numFmtId="1" fontId="0" fillId="21" borderId="2" xfId="0" applyNumberFormat="1" applyFill="1" applyBorder="1" applyAlignment="1">
      <alignment horizontal="center"/>
    </xf>
    <xf numFmtId="1" fontId="0" fillId="21" borderId="2" xfId="0" applyNumberFormat="1" applyFill="1" applyBorder="1" applyAlignment="1">
      <alignment horizontal="center" vertical="center"/>
    </xf>
    <xf numFmtId="1" fontId="0" fillId="21" borderId="3" xfId="0" applyNumberFormat="1" applyFill="1" applyBorder="1" applyAlignment="1">
      <alignment horizontal="center" vertical="center"/>
    </xf>
    <xf numFmtId="1" fontId="0" fillId="21" borderId="7" xfId="0" applyNumberFormat="1" applyFill="1" applyBorder="1" applyAlignment="1">
      <alignment horizontal="center" vertical="center"/>
    </xf>
    <xf numFmtId="1" fontId="2" fillId="21" borderId="6" xfId="0" applyNumberFormat="1" applyFont="1" applyFill="1" applyBorder="1"/>
    <xf numFmtId="1" fontId="0" fillId="0" borderId="1" xfId="0" applyNumberFormat="1" applyBorder="1" applyAlignment="1">
      <alignment horizontal="center" vertical="center"/>
    </xf>
    <xf numFmtId="1" fontId="0" fillId="0" borderId="2" xfId="0" applyNumberFormat="1" applyBorder="1" applyAlignment="1">
      <alignment horizontal="center" vertical="center"/>
    </xf>
    <xf numFmtId="1" fontId="0" fillId="0" borderId="11" xfId="0" applyNumberFormat="1" applyBorder="1"/>
    <xf numFmtId="1" fontId="2" fillId="0" borderId="11" xfId="0" applyNumberFormat="1" applyFont="1" applyBorder="1"/>
    <xf numFmtId="1" fontId="0" fillId="0" borderId="4" xfId="0" applyNumberFormat="1" applyBorder="1" applyAlignment="1">
      <alignment vertical="center"/>
    </xf>
    <xf numFmtId="1" fontId="0" fillId="0" borderId="5" xfId="0" applyNumberFormat="1" applyBorder="1" applyAlignment="1">
      <alignment horizontal="left" vertical="center"/>
    </xf>
    <xf numFmtId="1" fontId="0" fillId="21" borderId="11" xfId="0" applyNumberFormat="1" applyFill="1" applyBorder="1" applyAlignment="1">
      <alignment horizontal="center" vertical="center"/>
    </xf>
    <xf numFmtId="1" fontId="0" fillId="0" borderId="1" xfId="0" applyNumberFormat="1" applyBorder="1" applyAlignment="1">
      <alignment vertical="center"/>
    </xf>
    <xf numFmtId="1" fontId="0" fillId="0" borderId="0" xfId="0" applyNumberFormat="1" applyAlignment="1">
      <alignment horizontal="left" vertical="center"/>
    </xf>
    <xf numFmtId="1" fontId="0" fillId="0" borderId="9" xfId="0" applyNumberFormat="1" applyBorder="1" applyAlignment="1">
      <alignment vertical="center"/>
    </xf>
    <xf numFmtId="1" fontId="0" fillId="0" borderId="10" xfId="0" applyNumberFormat="1" applyBorder="1" applyAlignment="1">
      <alignment horizontal="left" vertical="center"/>
    </xf>
    <xf numFmtId="1" fontId="16" fillId="0" borderId="4" xfId="0" applyNumberFormat="1" applyFont="1" applyBorder="1"/>
    <xf numFmtId="1" fontId="2" fillId="0" borderId="0" xfId="0" applyNumberFormat="1" applyFont="1" applyAlignment="1">
      <alignment vertical="center"/>
    </xf>
    <xf numFmtId="1" fontId="0" fillId="21" borderId="4" xfId="0" applyNumberFormat="1" applyFill="1" applyBorder="1" applyAlignment="1">
      <alignment horizontal="center"/>
    </xf>
    <xf numFmtId="1" fontId="0" fillId="21" borderId="5" xfId="0" applyNumberFormat="1" applyFill="1" applyBorder="1" applyAlignment="1">
      <alignment horizontal="center"/>
    </xf>
    <xf numFmtId="1" fontId="0" fillId="21" borderId="5" xfId="0" applyNumberFormat="1" applyFill="1" applyBorder="1" applyAlignment="1">
      <alignment horizontal="center" vertical="center"/>
    </xf>
    <xf numFmtId="1" fontId="0" fillId="21" borderId="6" xfId="0" applyNumberFormat="1" applyFill="1" applyBorder="1" applyAlignment="1">
      <alignment horizontal="center" vertical="center"/>
    </xf>
    <xf numFmtId="1" fontId="2" fillId="27" borderId="4" xfId="0" applyNumberFormat="1" applyFont="1" applyFill="1" applyBorder="1" applyAlignment="1">
      <alignment vertical="center"/>
    </xf>
    <xf numFmtId="1" fontId="0" fillId="27" borderId="6" xfId="0" applyNumberFormat="1" applyFill="1" applyBorder="1"/>
    <xf numFmtId="1" fontId="0" fillId="0" borderId="1" xfId="0" applyNumberFormat="1" applyBorder="1" applyAlignment="1">
      <alignment horizontal="left" vertical="center" indent="1"/>
    </xf>
    <xf numFmtId="1" fontId="0" fillId="0" borderId="2" xfId="0" applyNumberFormat="1" applyBorder="1" applyAlignment="1">
      <alignment vertical="center"/>
    </xf>
    <xf numFmtId="1" fontId="0" fillId="22" borderId="13" xfId="0" applyNumberFormat="1" applyFill="1" applyBorder="1"/>
    <xf numFmtId="1" fontId="0" fillId="21" borderId="9" xfId="0" applyNumberFormat="1" applyFill="1" applyBorder="1"/>
    <xf numFmtId="1" fontId="0" fillId="0" borderId="0" xfId="0" applyNumberFormat="1" applyAlignment="1">
      <alignment horizontal="right"/>
    </xf>
    <xf numFmtId="9" fontId="0" fillId="20" borderId="0" xfId="1" applyFont="1" applyFill="1" applyBorder="1"/>
    <xf numFmtId="9" fontId="0" fillId="0" borderId="5" xfId="1" applyFont="1" applyBorder="1"/>
    <xf numFmtId="9" fontId="0" fillId="0" borderId="1" xfId="1" applyFont="1" applyFill="1" applyBorder="1" applyAlignment="1">
      <alignment horizontal="center" vertical="center"/>
    </xf>
    <xf numFmtId="9" fontId="0" fillId="0" borderId="3" xfId="1" applyFont="1" applyFill="1" applyBorder="1" applyAlignment="1">
      <alignment horizontal="center" vertical="center"/>
    </xf>
    <xf numFmtId="9" fontId="0" fillId="0" borderId="8" xfId="1" applyFont="1" applyFill="1" applyBorder="1" applyAlignment="1">
      <alignment horizontal="center" vertical="center"/>
    </xf>
    <xf numFmtId="9" fontId="0" fillId="0" borderId="12" xfId="1" applyFont="1" applyFill="1" applyBorder="1" applyAlignment="1">
      <alignment horizontal="center" vertical="center"/>
    </xf>
    <xf numFmtId="9" fontId="0" fillId="0" borderId="9" xfId="1" applyFont="1" applyFill="1" applyBorder="1" applyAlignment="1">
      <alignment horizontal="center" vertical="center"/>
    </xf>
    <xf numFmtId="9" fontId="0" fillId="0" borderId="13" xfId="1" applyFont="1" applyFill="1" applyBorder="1" applyAlignment="1">
      <alignment horizontal="center" vertical="center"/>
    </xf>
    <xf numFmtId="9" fontId="0" fillId="0" borderId="11" xfId="1" applyFont="1" applyFill="1" applyBorder="1" applyAlignment="1">
      <alignment horizontal="center" vertical="center"/>
    </xf>
    <xf numFmtId="9" fontId="0" fillId="21" borderId="11" xfId="1" applyFont="1" applyFill="1" applyBorder="1" applyAlignment="1">
      <alignment horizontal="center" vertical="center"/>
    </xf>
    <xf numFmtId="9" fontId="0" fillId="0" borderId="0" xfId="1" applyFont="1" applyFill="1" applyBorder="1" applyAlignment="1">
      <alignment horizontal="center" vertical="center"/>
    </xf>
    <xf numFmtId="9" fontId="0" fillId="21" borderId="7" xfId="1" applyFont="1" applyFill="1" applyBorder="1" applyAlignment="1">
      <alignment horizontal="center" vertical="center"/>
    </xf>
    <xf numFmtId="9" fontId="0" fillId="0" borderId="7" xfId="1" applyFont="1" applyFill="1" applyBorder="1" applyAlignment="1">
      <alignment horizontal="center" vertical="center"/>
    </xf>
    <xf numFmtId="9" fontId="0" fillId="0" borderId="24" xfId="1" applyFont="1" applyFill="1" applyBorder="1" applyAlignment="1">
      <alignment horizontal="center" vertical="center"/>
    </xf>
    <xf numFmtId="0" fontId="97" fillId="0" borderId="0" xfId="4" applyFont="1" applyAlignment="1">
      <alignment vertical="center"/>
    </xf>
    <xf numFmtId="0" fontId="79" fillId="0" borderId="4" xfId="4" applyFont="1" applyBorder="1" applyAlignment="1">
      <alignment vertical="center"/>
    </xf>
    <xf numFmtId="9" fontId="78" fillId="0" borderId="5" xfId="0" applyNumberFormat="1" applyFont="1" applyBorder="1" applyAlignment="1">
      <alignment horizontal="center"/>
    </xf>
    <xf numFmtId="9" fontId="78" fillId="0" borderId="5" xfId="1" applyFont="1" applyFill="1" applyBorder="1" applyAlignment="1">
      <alignment horizontal="center" vertical="center"/>
    </xf>
    <xf numFmtId="9" fontId="78" fillId="0" borderId="6" xfId="1" applyFont="1" applyFill="1" applyBorder="1" applyAlignment="1">
      <alignment horizontal="center" vertical="center"/>
    </xf>
    <xf numFmtId="9" fontId="77" fillId="0" borderId="4" xfId="1" applyFont="1" applyFill="1" applyBorder="1" applyAlignment="1">
      <alignment horizontal="center" vertical="center"/>
    </xf>
    <xf numFmtId="9" fontId="77" fillId="0" borderId="5" xfId="1" applyFont="1" applyFill="1" applyBorder="1" applyAlignment="1">
      <alignment horizontal="center" vertical="center"/>
    </xf>
    <xf numFmtId="0" fontId="77" fillId="0" borderId="5" xfId="0" applyFont="1" applyBorder="1" applyAlignment="1">
      <alignment vertical="center"/>
    </xf>
    <xf numFmtId="1" fontId="2" fillId="0" borderId="10" xfId="0" applyNumberFormat="1" applyFont="1" applyBorder="1" applyAlignment="1">
      <alignment horizontal="center"/>
    </xf>
    <xf numFmtId="3" fontId="0" fillId="5" borderId="0" xfId="0" applyNumberFormat="1" applyFill="1" applyAlignment="1">
      <alignment horizontal="center" vertical="center"/>
    </xf>
    <xf numFmtId="4" fontId="17" fillId="17" borderId="11" xfId="4" applyNumberFormat="1" applyFont="1" applyFill="1" applyBorder="1" applyAlignment="1" applyProtection="1">
      <alignment horizontal="center" vertical="center"/>
      <protection locked="0"/>
    </xf>
    <xf numFmtId="11" fontId="41" fillId="27" borderId="8" xfId="3" applyNumberFormat="1" applyFont="1" applyFill="1" applyBorder="1"/>
    <xf numFmtId="11" fontId="41" fillId="27" borderId="0" xfId="3" applyNumberFormat="1" applyFont="1" applyFill="1" applyBorder="1"/>
    <xf numFmtId="11" fontId="41" fillId="0" borderId="8" xfId="3" applyNumberFormat="1" applyFont="1" applyBorder="1"/>
    <xf numFmtId="11" fontId="41" fillId="0" borderId="0" xfId="3" applyNumberFormat="1" applyFont="1" applyBorder="1"/>
    <xf numFmtId="11" fontId="41" fillId="0" borderId="12" xfId="3" applyNumberFormat="1" applyFont="1" applyBorder="1"/>
    <xf numFmtId="48" fontId="39" fillId="10" borderId="0" xfId="0" applyNumberFormat="1" applyFont="1" applyFill="1"/>
    <xf numFmtId="11" fontId="0" fillId="0" borderId="12" xfId="0" applyNumberFormat="1" applyBorder="1"/>
    <xf numFmtId="0" fontId="39" fillId="0" borderId="4" xfId="0" applyFont="1" applyBorder="1"/>
    <xf numFmtId="9" fontId="17" fillId="0" borderId="5" xfId="0" applyNumberFormat="1" applyFont="1" applyBorder="1"/>
    <xf numFmtId="0" fontId="17" fillId="0" borderId="5" xfId="0" applyFont="1" applyBorder="1"/>
    <xf numFmtId="0" fontId="17" fillId="0" borderId="6" xfId="0" applyFont="1" applyBorder="1"/>
    <xf numFmtId="11" fontId="36" fillId="0" borderId="12" xfId="1" applyNumberFormat="1" applyFont="1" applyFill="1" applyBorder="1"/>
    <xf numFmtId="11" fontId="0" fillId="27" borderId="12" xfId="0" applyNumberFormat="1" applyFill="1" applyBorder="1"/>
    <xf numFmtId="9" fontId="17" fillId="27" borderId="0" xfId="0" applyNumberFormat="1" applyFont="1" applyFill="1"/>
    <xf numFmtId="0" fontId="17" fillId="27" borderId="0" xfId="0" applyFont="1" applyFill="1"/>
    <xf numFmtId="2" fontId="17" fillId="27" borderId="0" xfId="0" applyNumberFormat="1" applyFont="1" applyFill="1"/>
    <xf numFmtId="48" fontId="37" fillId="0" borderId="9" xfId="3" applyNumberFormat="1" applyFont="1" applyBorder="1"/>
    <xf numFmtId="48" fontId="37" fillId="0" borderId="10" xfId="3" applyNumberFormat="1" applyFont="1" applyBorder="1"/>
    <xf numFmtId="0" fontId="36" fillId="36" borderId="1" xfId="0" applyFont="1" applyFill="1" applyBorder="1"/>
    <xf numFmtId="0" fontId="36" fillId="36" borderId="2" xfId="0" applyFont="1" applyFill="1" applyBorder="1"/>
    <xf numFmtId="166" fontId="36" fillId="36" borderId="2" xfId="1" applyNumberFormat="1" applyFont="1" applyFill="1" applyBorder="1"/>
    <xf numFmtId="0" fontId="2" fillId="36" borderId="3" xfId="0" applyFont="1" applyFill="1" applyBorder="1"/>
    <xf numFmtId="0" fontId="36" fillId="36" borderId="8" xfId="0" applyFont="1" applyFill="1" applyBorder="1"/>
    <xf numFmtId="0" fontId="36" fillId="36" borderId="0" xfId="0" applyFont="1" applyFill="1"/>
    <xf numFmtId="48" fontId="36" fillId="36" borderId="0" xfId="0" applyNumberFormat="1" applyFont="1" applyFill="1"/>
    <xf numFmtId="48" fontId="36" fillId="36" borderId="0" xfId="1" applyNumberFormat="1" applyFont="1" applyFill="1" applyBorder="1"/>
    <xf numFmtId="167" fontId="40" fillId="36" borderId="12" xfId="3" applyNumberFormat="1" applyFont="1" applyFill="1" applyBorder="1"/>
    <xf numFmtId="11" fontId="36" fillId="26" borderId="9" xfId="0" applyNumberFormat="1" applyFont="1" applyFill="1" applyBorder="1"/>
    <xf numFmtId="11" fontId="36" fillId="26" borderId="10" xfId="0" applyNumberFormat="1" applyFont="1" applyFill="1" applyBorder="1"/>
    <xf numFmtId="11" fontId="36" fillId="26" borderId="10" xfId="1" applyNumberFormat="1" applyFont="1" applyFill="1" applyBorder="1"/>
    <xf numFmtId="11" fontId="36" fillId="26" borderId="13" xfId="1" applyNumberFormat="1" applyFont="1" applyFill="1" applyBorder="1"/>
    <xf numFmtId="11" fontId="41" fillId="27" borderId="1" xfId="3" applyNumberFormat="1" applyFont="1" applyFill="1" applyBorder="1"/>
    <xf numFmtId="11" fontId="41" fillId="27" borderId="2" xfId="3" applyNumberFormat="1" applyFont="1" applyFill="1" applyBorder="1"/>
    <xf numFmtId="11" fontId="0" fillId="27" borderId="3" xfId="0" applyNumberFormat="1" applyFill="1" applyBorder="1"/>
    <xf numFmtId="48" fontId="37" fillId="0" borderId="13" xfId="3" applyNumberFormat="1" applyFont="1" applyBorder="1"/>
    <xf numFmtId="11" fontId="17" fillId="0" borderId="0" xfId="0" applyNumberFormat="1" applyFont="1"/>
    <xf numFmtId="48" fontId="39" fillId="10" borderId="12" xfId="0" applyNumberFormat="1" applyFont="1" applyFill="1" applyBorder="1"/>
    <xf numFmtId="0" fontId="50" fillId="0" borderId="1" xfId="0" applyFont="1" applyBorder="1" applyAlignment="1">
      <alignment horizontal="center"/>
    </xf>
    <xf numFmtId="0" fontId="50" fillId="0" borderId="2" xfId="0" applyFont="1" applyBorder="1" applyAlignment="1">
      <alignment horizontal="center"/>
    </xf>
    <xf numFmtId="0" fontId="50" fillId="0" borderId="3" xfId="0" applyFont="1" applyBorder="1" applyAlignment="1">
      <alignment horizontal="center"/>
    </xf>
    <xf numFmtId="166" fontId="36" fillId="26" borderId="2" xfId="1" applyNumberFormat="1" applyFont="1" applyFill="1" applyBorder="1"/>
    <xf numFmtId="11" fontId="37" fillId="27" borderId="8" xfId="3" applyNumberFormat="1" applyFont="1" applyFill="1" applyBorder="1"/>
    <xf numFmtId="11" fontId="37" fillId="27" borderId="0" xfId="3" applyNumberFormat="1" applyFont="1" applyFill="1" applyBorder="1"/>
    <xf numFmtId="11" fontId="73" fillId="0" borderId="0" xfId="3" applyNumberFormat="1" applyFont="1" applyBorder="1" applyAlignment="1">
      <alignment horizontal="right" vertical="center"/>
    </xf>
    <xf numFmtId="11" fontId="74" fillId="0" borderId="12" xfId="3" applyNumberFormat="1" applyFont="1" applyBorder="1" applyAlignment="1">
      <alignment horizontal="right" vertical="center"/>
    </xf>
    <xf numFmtId="0" fontId="49" fillId="0" borderId="11" xfId="0" applyFont="1" applyBorder="1"/>
    <xf numFmtId="0" fontId="41" fillId="0" borderId="8" xfId="3" applyNumberFormat="1" applyFont="1" applyBorder="1"/>
    <xf numFmtId="0" fontId="39" fillId="10" borderId="9" xfId="0" applyFont="1" applyFill="1" applyBorder="1"/>
    <xf numFmtId="0" fontId="41" fillId="10" borderId="8" xfId="3" applyNumberFormat="1" applyFont="1" applyFill="1" applyBorder="1"/>
    <xf numFmtId="0" fontId="41" fillId="10" borderId="0" xfId="3" applyNumberFormat="1" applyFont="1" applyFill="1" applyBorder="1"/>
    <xf numFmtId="0" fontId="0" fillId="0" borderId="12" xfId="1" applyNumberFormat="1" applyFont="1" applyBorder="1"/>
    <xf numFmtId="0" fontId="0" fillId="10" borderId="1" xfId="1" applyNumberFormat="1" applyFont="1" applyFill="1" applyBorder="1"/>
    <xf numFmtId="48" fontId="0" fillId="0" borderId="3" xfId="1" applyNumberFormat="1" applyFont="1" applyBorder="1"/>
    <xf numFmtId="48" fontId="0" fillId="0" borderId="13" xfId="1" applyNumberFormat="1" applyFont="1" applyBorder="1"/>
    <xf numFmtId="9" fontId="0" fillId="0" borderId="2" xfId="1" applyFont="1" applyBorder="1" applyAlignment="1">
      <alignment horizontal="center"/>
    </xf>
    <xf numFmtId="48" fontId="0" fillId="24" borderId="8" xfId="0" applyNumberFormat="1" applyFill="1" applyBorder="1"/>
    <xf numFmtId="0" fontId="8" fillId="0" borderId="11" xfId="4" applyFont="1" applyBorder="1" applyAlignment="1" applyProtection="1">
      <alignment horizontal="center" vertical="center"/>
      <protection locked="0"/>
    </xf>
    <xf numFmtId="0" fontId="17" fillId="5" borderId="1" xfId="0" applyFont="1" applyFill="1" applyBorder="1"/>
    <xf numFmtId="0" fontId="17" fillId="5" borderId="9" xfId="0" applyFont="1" applyFill="1" applyBorder="1"/>
    <xf numFmtId="9" fontId="37" fillId="0" borderId="1" xfId="1" applyFont="1" applyBorder="1"/>
    <xf numFmtId="9" fontId="37" fillId="0" borderId="2" xfId="1" applyFont="1" applyBorder="1"/>
    <xf numFmtId="9" fontId="37" fillId="0" borderId="3" xfId="1" applyFont="1" applyBorder="1"/>
    <xf numFmtId="9" fontId="37" fillId="0" borderId="8" xfId="1" applyFont="1" applyBorder="1"/>
    <xf numFmtId="9" fontId="37" fillId="0" borderId="0" xfId="1" applyFont="1" applyBorder="1"/>
    <xf numFmtId="9" fontId="37" fillId="0" borderId="12" xfId="1" applyFont="1" applyBorder="1"/>
    <xf numFmtId="9" fontId="37" fillId="0" borderId="9" xfId="0" applyNumberFormat="1" applyFont="1" applyBorder="1"/>
    <xf numFmtId="9" fontId="37" fillId="0" borderId="10" xfId="0" applyNumberFormat="1" applyFont="1" applyBorder="1"/>
    <xf numFmtId="9" fontId="37" fillId="0" borderId="13" xfId="0" applyNumberFormat="1" applyFont="1" applyBorder="1"/>
    <xf numFmtId="9" fontId="37" fillId="0" borderId="4" xfId="1" applyFont="1" applyBorder="1"/>
    <xf numFmtId="9" fontId="37" fillId="0" borderId="5" xfId="1" applyFont="1" applyBorder="1"/>
    <xf numFmtId="9" fontId="37" fillId="0" borderId="6" xfId="1" applyFont="1" applyBorder="1"/>
    <xf numFmtId="9" fontId="40" fillId="0" borderId="1" xfId="1" applyFont="1" applyBorder="1"/>
    <xf numFmtId="9" fontId="40" fillId="0" borderId="2" xfId="1" applyFont="1" applyBorder="1"/>
    <xf numFmtId="9" fontId="40" fillId="0" borderId="3" xfId="1" applyFont="1" applyBorder="1"/>
    <xf numFmtId="9" fontId="40" fillId="0" borderId="8" xfId="1" applyFont="1" applyBorder="1"/>
    <xf numFmtId="9" fontId="40" fillId="0" borderId="0" xfId="1" applyFont="1" applyBorder="1"/>
    <xf numFmtId="9" fontId="40" fillId="0" borderId="12" xfId="1" applyFont="1" applyBorder="1"/>
    <xf numFmtId="9" fontId="40" fillId="0" borderId="10" xfId="0" applyNumberFormat="1" applyFont="1" applyBorder="1"/>
    <xf numFmtId="9" fontId="40" fillId="0" borderId="13" xfId="0" applyNumberFormat="1" applyFont="1" applyBorder="1"/>
    <xf numFmtId="0" fontId="98" fillId="0" borderId="0" xfId="0" applyFont="1"/>
    <xf numFmtId="0" fontId="0" fillId="18" borderId="7" xfId="0" applyFill="1" applyBorder="1"/>
    <xf numFmtId="0" fontId="0" fillId="18" borderId="14" xfId="0" applyFill="1" applyBorder="1"/>
    <xf numFmtId="0" fontId="16" fillId="18" borderId="14" xfId="0" applyFont="1" applyFill="1" applyBorder="1"/>
    <xf numFmtId="0" fontId="16" fillId="18" borderId="24" xfId="0" applyFont="1" applyFill="1" applyBorder="1"/>
    <xf numFmtId="0" fontId="17" fillId="0" borderId="3" xfId="4" applyFont="1" applyBorder="1" applyAlignment="1" applyProtection="1">
      <alignment vertical="center"/>
      <protection locked="0"/>
    </xf>
    <xf numFmtId="0" fontId="17" fillId="0" borderId="5" xfId="4" applyFont="1" applyBorder="1" applyAlignment="1" applyProtection="1">
      <alignment vertical="center"/>
      <protection locked="0"/>
    </xf>
    <xf numFmtId="0" fontId="8" fillId="0" borderId="7" xfId="4" applyFont="1" applyBorder="1" applyAlignment="1" applyProtection="1">
      <alignment horizontal="center" vertical="center"/>
      <protection locked="0"/>
    </xf>
    <xf numFmtId="1" fontId="99" fillId="0" borderId="0" xfId="0" applyNumberFormat="1" applyFont="1" applyAlignment="1">
      <alignment vertical="center"/>
    </xf>
    <xf numFmtId="178" fontId="40" fillId="0" borderId="9" xfId="0" applyNumberFormat="1" applyFont="1" applyBorder="1"/>
    <xf numFmtId="169" fontId="0" fillId="0" borderId="4" xfId="0" applyNumberFormat="1" applyBorder="1"/>
    <xf numFmtId="169" fontId="0" fillId="0" borderId="6" xfId="0" applyNumberFormat="1" applyBorder="1"/>
    <xf numFmtId="169" fontId="0" fillId="0" borderId="11" xfId="0" applyNumberFormat="1" applyBorder="1"/>
    <xf numFmtId="0" fontId="59" fillId="0" borderId="1" xfId="0" applyFont="1" applyBorder="1" applyAlignment="1">
      <alignment horizontal="center"/>
    </xf>
    <xf numFmtId="0" fontId="59" fillId="0" borderId="2" xfId="0" applyFont="1" applyBorder="1" applyAlignment="1">
      <alignment horizontal="center"/>
    </xf>
    <xf numFmtId="0" fontId="59" fillId="0" borderId="3" xfId="0" applyFont="1" applyBorder="1"/>
    <xf numFmtId="179" fontId="0" fillId="0" borderId="0" xfId="0" applyNumberFormat="1"/>
    <xf numFmtId="10" fontId="0" fillId="0" borderId="24" xfId="1" applyNumberFormat="1" applyFont="1" applyFill="1" applyBorder="1" applyAlignment="1">
      <alignment horizontal="center" vertical="center"/>
    </xf>
    <xf numFmtId="10" fontId="0" fillId="0" borderId="13" xfId="0" applyNumberFormat="1" applyBorder="1"/>
    <xf numFmtId="0" fontId="65" fillId="0" borderId="0" xfId="0" applyFont="1"/>
    <xf numFmtId="0" fontId="0" fillId="16" borderId="4" xfId="0" applyFill="1" applyBorder="1" applyAlignment="1">
      <alignment horizontal="center" vertical="center"/>
    </xf>
    <xf numFmtId="0" fontId="0" fillId="16" borderId="5" xfId="0" applyFill="1" applyBorder="1" applyAlignment="1">
      <alignment horizontal="center" vertical="center"/>
    </xf>
    <xf numFmtId="0" fontId="0" fillId="16" borderId="6" xfId="0" applyFill="1" applyBorder="1" applyAlignment="1">
      <alignment horizontal="center" vertical="center"/>
    </xf>
    <xf numFmtId="167" fontId="2" fillId="10" borderId="1" xfId="3" applyNumberFormat="1" applyFont="1" applyFill="1" applyBorder="1" applyAlignment="1">
      <alignment horizontal="center" vertical="center"/>
    </xf>
    <xf numFmtId="167" fontId="2" fillId="10" borderId="2" xfId="3" applyNumberFormat="1" applyFont="1" applyFill="1" applyBorder="1" applyAlignment="1">
      <alignment horizontal="center" vertical="center"/>
    </xf>
    <xf numFmtId="167" fontId="2" fillId="10" borderId="3" xfId="3" applyNumberFormat="1" applyFont="1" applyFill="1" applyBorder="1" applyAlignment="1">
      <alignment horizontal="center" vertical="center"/>
    </xf>
    <xf numFmtId="167" fontId="0" fillId="10" borderId="10" xfId="3" applyNumberFormat="1" applyFont="1" applyFill="1" applyBorder="1" applyAlignment="1">
      <alignment horizontal="center" vertical="center"/>
    </xf>
    <xf numFmtId="167" fontId="0" fillId="10" borderId="13" xfId="3" applyNumberFormat="1" applyFont="1" applyFill="1" applyBorder="1" applyAlignment="1">
      <alignment horizontal="center" vertical="center"/>
    </xf>
    <xf numFmtId="0" fontId="0" fillId="18" borderId="1" xfId="0" applyFill="1" applyBorder="1"/>
    <xf numFmtId="0" fontId="16" fillId="18" borderId="9" xfId="0" applyFont="1" applyFill="1" applyBorder="1"/>
    <xf numFmtId="0" fontId="100" fillId="0" borderId="4" xfId="0" applyFont="1" applyBorder="1"/>
    <xf numFmtId="0" fontId="48" fillId="0" borderId="5" xfId="0" applyFont="1" applyBorder="1"/>
    <xf numFmtId="0" fontId="48" fillId="0" borderId="6" xfId="0" applyFont="1" applyBorder="1"/>
    <xf numFmtId="0" fontId="101" fillId="0" borderId="4" xfId="0" applyFont="1" applyBorder="1"/>
    <xf numFmtId="0" fontId="101" fillId="0" borderId="5" xfId="0" applyFont="1" applyBorder="1"/>
    <xf numFmtId="0" fontId="101" fillId="0" borderId="6" xfId="0" applyFont="1" applyBorder="1"/>
    <xf numFmtId="0" fontId="48" fillId="0" borderId="8" xfId="0" applyFont="1" applyBorder="1"/>
    <xf numFmtId="0" fontId="48" fillId="0" borderId="12" xfId="0" applyFont="1" applyBorder="1"/>
    <xf numFmtId="48" fontId="48" fillId="0" borderId="8" xfId="0" applyNumberFormat="1" applyFont="1" applyBorder="1"/>
    <xf numFmtId="48" fontId="48" fillId="0" borderId="0" xfId="0" applyNumberFormat="1" applyFont="1"/>
    <xf numFmtId="48" fontId="48" fillId="0" borderId="12" xfId="0" applyNumberFormat="1" applyFont="1" applyBorder="1"/>
    <xf numFmtId="0" fontId="48" fillId="0" borderId="9" xfId="0" applyFont="1" applyBorder="1"/>
    <xf numFmtId="48" fontId="48" fillId="0" borderId="9" xfId="0" applyNumberFormat="1" applyFont="1" applyBorder="1"/>
    <xf numFmtId="48" fontId="48" fillId="0" borderId="10" xfId="0" applyNumberFormat="1" applyFont="1" applyBorder="1"/>
    <xf numFmtId="179" fontId="48" fillId="0" borderId="13" xfId="0" applyNumberFormat="1" applyFont="1" applyBorder="1"/>
    <xf numFmtId="0" fontId="102" fillId="0" borderId="4" xfId="0" applyFont="1" applyBorder="1"/>
    <xf numFmtId="9" fontId="48" fillId="0" borderId="1" xfId="1" applyFont="1" applyBorder="1"/>
    <xf numFmtId="9" fontId="48" fillId="0" borderId="2" xfId="1" applyFont="1" applyBorder="1"/>
    <xf numFmtId="9" fontId="48" fillId="0" borderId="3" xfId="1" applyFont="1" applyBorder="1"/>
    <xf numFmtId="9" fontId="48" fillId="0" borderId="9" xfId="1" applyFont="1" applyBorder="1"/>
    <xf numFmtId="9" fontId="48" fillId="0" borderId="10" xfId="1" applyFont="1" applyBorder="1"/>
    <xf numFmtId="9" fontId="48" fillId="0" borderId="13" xfId="1" applyFont="1" applyBorder="1"/>
    <xf numFmtId="0" fontId="84" fillId="0" borderId="4" xfId="0" applyFont="1" applyBorder="1" applyAlignment="1">
      <alignment horizontal="left" vertical="center"/>
    </xf>
    <xf numFmtId="0" fontId="30" fillId="0" borderId="5" xfId="0" applyFont="1" applyBorder="1"/>
    <xf numFmtId="0" fontId="30" fillId="0" borderId="6" xfId="0" applyFont="1" applyBorder="1"/>
    <xf numFmtId="48" fontId="0" fillId="10" borderId="1" xfId="1" applyNumberFormat="1" applyFont="1" applyFill="1" applyBorder="1"/>
    <xf numFmtId="48" fontId="0" fillId="10" borderId="9" xfId="1" applyNumberFormat="1" applyFont="1" applyFill="1" applyBorder="1"/>
    <xf numFmtId="48" fontId="0" fillId="10" borderId="10" xfId="1" applyNumberFormat="1" applyFont="1" applyFill="1" applyBorder="1"/>
    <xf numFmtId="0" fontId="84" fillId="0" borderId="1" xfId="0" applyFont="1" applyBorder="1" applyAlignment="1">
      <alignment horizontal="left" vertical="center"/>
    </xf>
    <xf numFmtId="0" fontId="30" fillId="0" borderId="2" xfId="0" applyFont="1" applyBorder="1"/>
    <xf numFmtId="0" fontId="30" fillId="0" borderId="2" xfId="0" applyFont="1" applyBorder="1" applyAlignment="1">
      <alignment wrapText="1"/>
    </xf>
    <xf numFmtId="0" fontId="30" fillId="0" borderId="3" xfId="0" applyFont="1" applyBorder="1"/>
    <xf numFmtId="48" fontId="0" fillId="0" borderId="6" xfId="0" applyNumberFormat="1" applyBorder="1"/>
    <xf numFmtId="9" fontId="0" fillId="0" borderId="6" xfId="1" applyFont="1" applyFill="1" applyBorder="1"/>
    <xf numFmtId="166" fontId="36" fillId="26" borderId="0" xfId="1" applyNumberFormat="1" applyFont="1" applyFill="1" applyBorder="1"/>
    <xf numFmtId="0" fontId="0" fillId="36" borderId="0" xfId="0" applyFill="1"/>
    <xf numFmtId="0" fontId="41" fillId="0" borderId="0" xfId="3" applyNumberFormat="1" applyFont="1" applyBorder="1"/>
    <xf numFmtId="48" fontId="36" fillId="10" borderId="0" xfId="0" applyNumberFormat="1" applyFont="1" applyFill="1"/>
    <xf numFmtId="0" fontId="41" fillId="10" borderId="12" xfId="3" applyNumberFormat="1" applyFont="1" applyFill="1" applyBorder="1"/>
    <xf numFmtId="0" fontId="41" fillId="0" borderId="12" xfId="3" applyNumberFormat="1" applyFont="1" applyBorder="1"/>
    <xf numFmtId="48" fontId="41" fillId="10" borderId="12" xfId="3" applyNumberFormat="1" applyFont="1" applyFill="1" applyBorder="1"/>
    <xf numFmtId="48" fontId="41" fillId="24" borderId="8" xfId="3" applyNumberFormat="1" applyFont="1" applyFill="1" applyBorder="1"/>
    <xf numFmtId="48" fontId="36" fillId="10" borderId="8" xfId="0" applyNumberFormat="1" applyFont="1" applyFill="1" applyBorder="1"/>
    <xf numFmtId="48" fontId="39" fillId="10" borderId="10" xfId="0" applyNumberFormat="1" applyFont="1" applyFill="1" applyBorder="1"/>
    <xf numFmtId="0" fontId="39" fillId="10" borderId="10" xfId="0" applyFont="1" applyFill="1" applyBorder="1"/>
    <xf numFmtId="48" fontId="39" fillId="10" borderId="13" xfId="0" applyNumberFormat="1" applyFont="1" applyFill="1" applyBorder="1"/>
    <xf numFmtId="11" fontId="2" fillId="27" borderId="12" xfId="0" applyNumberFormat="1" applyFont="1" applyFill="1" applyBorder="1"/>
    <xf numFmtId="167" fontId="37" fillId="27" borderId="1" xfId="3" applyNumberFormat="1" applyFont="1" applyFill="1" applyBorder="1"/>
    <xf numFmtId="167" fontId="37" fillId="27" borderId="2" xfId="3" applyNumberFormat="1" applyFont="1" applyFill="1" applyBorder="1"/>
    <xf numFmtId="167" fontId="37" fillId="27" borderId="3" xfId="3" applyNumberFormat="1" applyFont="1" applyFill="1" applyBorder="1"/>
    <xf numFmtId="0" fontId="0" fillId="24" borderId="0" xfId="0" applyFill="1"/>
    <xf numFmtId="0" fontId="17" fillId="36" borderId="0" xfId="0" applyFont="1" applyFill="1"/>
    <xf numFmtId="9" fontId="17" fillId="36" borderId="0" xfId="0" applyNumberFormat="1" applyFont="1" applyFill="1"/>
    <xf numFmtId="0" fontId="38" fillId="26" borderId="1" xfId="0" applyFont="1" applyFill="1" applyBorder="1"/>
    <xf numFmtId="0" fontId="0" fillId="24" borderId="1" xfId="0" applyFill="1" applyBorder="1"/>
    <xf numFmtId="0" fontId="0" fillId="24" borderId="2" xfId="0" applyFill="1" applyBorder="1"/>
    <xf numFmtId="0" fontId="0" fillId="24" borderId="3" xfId="0" applyFill="1" applyBorder="1"/>
    <xf numFmtId="0" fontId="0" fillId="24" borderId="9" xfId="0" applyFill="1" applyBorder="1"/>
    <xf numFmtId="48" fontId="0" fillId="24" borderId="0" xfId="0" applyNumberFormat="1" applyFill="1"/>
    <xf numFmtId="0" fontId="2" fillId="0" borderId="7" xfId="0" applyFont="1" applyBorder="1"/>
    <xf numFmtId="179" fontId="0" fillId="0" borderId="11" xfId="0" applyNumberFormat="1" applyBorder="1"/>
    <xf numFmtId="2" fontId="0" fillId="0" borderId="1" xfId="0" applyNumberFormat="1" applyBorder="1"/>
    <xf numFmtId="48" fontId="2" fillId="0" borderId="7" xfId="0" applyNumberFormat="1" applyFont="1" applyBorder="1"/>
    <xf numFmtId="171" fontId="0" fillId="0" borderId="24" xfId="0" applyNumberFormat="1" applyBorder="1"/>
    <xf numFmtId="178" fontId="0" fillId="0" borderId="4" xfId="0" applyNumberFormat="1" applyBorder="1"/>
    <xf numFmtId="9" fontId="0" fillId="0" borderId="6" xfId="0" applyNumberFormat="1" applyBorder="1"/>
    <xf numFmtId="1" fontId="0" fillId="21" borderId="6" xfId="0" applyNumberFormat="1" applyFill="1" applyBorder="1"/>
    <xf numFmtId="1" fontId="0" fillId="21" borderId="6" xfId="0" applyNumberFormat="1" applyFill="1" applyBorder="1" applyAlignment="1">
      <alignment horizontal="center"/>
    </xf>
    <xf numFmtId="1" fontId="0" fillId="10" borderId="0" xfId="0" applyNumberFormat="1" applyFill="1" applyAlignment="1">
      <alignment horizontal="center" vertical="center"/>
    </xf>
    <xf numFmtId="1" fontId="0" fillId="14" borderId="4" xfId="0" applyNumberFormat="1" applyFill="1" applyBorder="1" applyAlignment="1">
      <alignment horizontal="center" vertical="center"/>
    </xf>
    <xf numFmtId="1" fontId="0" fillId="14" borderId="5" xfId="0" applyNumberFormat="1" applyFill="1" applyBorder="1" applyAlignment="1">
      <alignment horizontal="center" vertical="center"/>
    </xf>
    <xf numFmtId="1" fontId="0" fillId="14" borderId="6" xfId="0" applyNumberFormat="1" applyFill="1" applyBorder="1" applyAlignment="1">
      <alignment horizontal="center" vertical="center"/>
    </xf>
    <xf numFmtId="9" fontId="0" fillId="0" borderId="0" xfId="1" applyFont="1" applyFill="1" applyBorder="1"/>
    <xf numFmtId="9" fontId="0" fillId="20" borderId="5" xfId="1" applyFont="1" applyFill="1" applyBorder="1"/>
    <xf numFmtId="171" fontId="36" fillId="28" borderId="12" xfId="0" applyNumberFormat="1" applyFont="1" applyFill="1" applyBorder="1"/>
    <xf numFmtId="0" fontId="103" fillId="0" borderId="0" xfId="0" applyFont="1"/>
    <xf numFmtId="0" fontId="103" fillId="0" borderId="0" xfId="0" applyFont="1" applyAlignment="1">
      <alignment vertical="center"/>
    </xf>
    <xf numFmtId="1" fontId="0" fillId="22" borderId="1" xfId="0" applyNumberFormat="1" applyFill="1" applyBorder="1"/>
    <xf numFmtId="1" fontId="0" fillId="22" borderId="3" xfId="0" applyNumberFormat="1" applyFill="1" applyBorder="1"/>
    <xf numFmtId="1" fontId="0" fillId="10" borderId="2" xfId="0" applyNumberFormat="1" applyFill="1" applyBorder="1" applyAlignment="1">
      <alignment horizontal="center"/>
    </xf>
    <xf numFmtId="1" fontId="0" fillId="10" borderId="2" xfId="0" applyNumberFormat="1" applyFill="1" applyBorder="1" applyAlignment="1">
      <alignment horizontal="center" vertical="center"/>
    </xf>
    <xf numFmtId="1" fontId="35" fillId="10" borderId="2" xfId="0" applyNumberFormat="1" applyFont="1" applyFill="1" applyBorder="1" applyAlignment="1">
      <alignment horizontal="center"/>
    </xf>
    <xf numFmtId="1" fontId="35" fillId="10" borderId="3" xfId="0" applyNumberFormat="1" applyFont="1" applyFill="1" applyBorder="1" applyAlignment="1">
      <alignment horizontal="center"/>
    </xf>
    <xf numFmtId="1" fontId="0" fillId="10" borderId="10" xfId="0" applyNumberFormat="1" applyFill="1" applyBorder="1" applyAlignment="1">
      <alignment horizontal="center"/>
    </xf>
    <xf numFmtId="1" fontId="0" fillId="10" borderId="13" xfId="0" applyNumberFormat="1" applyFill="1" applyBorder="1" applyAlignment="1">
      <alignment horizontal="center"/>
    </xf>
    <xf numFmtId="1" fontId="2" fillId="0" borderId="1" xfId="0" applyNumberFormat="1" applyFont="1" applyBorder="1"/>
    <xf numFmtId="1" fontId="0" fillId="0" borderId="1" xfId="0" applyNumberFormat="1" applyBorder="1" applyAlignment="1">
      <alignment horizontal="left" vertical="center"/>
    </xf>
    <xf numFmtId="1" fontId="0" fillId="0" borderId="9" xfId="0" applyNumberFormat="1" applyBorder="1" applyAlignment="1">
      <alignment horizontal="left" vertical="center"/>
    </xf>
    <xf numFmtId="9" fontId="0" fillId="0" borderId="6" xfId="1" applyFont="1" applyFill="1" applyBorder="1" applyAlignment="1">
      <alignment horizontal="center" vertical="center"/>
    </xf>
    <xf numFmtId="1" fontId="16" fillId="0" borderId="1" xfId="0" applyNumberFormat="1" applyFont="1" applyBorder="1"/>
    <xf numFmtId="1" fontId="16" fillId="0" borderId="1" xfId="0" applyNumberFormat="1" applyFont="1" applyBorder="1" applyAlignment="1">
      <alignment horizontal="center" vertical="center"/>
    </xf>
    <xf numFmtId="1" fontId="16" fillId="0" borderId="2" xfId="0" applyNumberFormat="1" applyFont="1" applyBorder="1" applyAlignment="1">
      <alignment horizontal="center" vertical="center"/>
    </xf>
    <xf numFmtId="1" fontId="16" fillId="0" borderId="3" xfId="0" applyNumberFormat="1" applyFont="1" applyBorder="1" applyAlignment="1">
      <alignment horizontal="center" vertical="center"/>
    </xf>
    <xf numFmtId="9" fontId="0" fillId="0" borderId="4" xfId="1" applyFont="1" applyFill="1" applyBorder="1" applyAlignment="1">
      <alignment horizontal="center" vertical="center"/>
    </xf>
    <xf numFmtId="1" fontId="0" fillId="0" borderId="0" xfId="1" applyNumberFormat="1" applyFont="1" applyBorder="1" applyAlignment="1">
      <alignment horizontal="center"/>
    </xf>
    <xf numFmtId="1" fontId="96" fillId="6" borderId="1" xfId="0" applyNumberFormat="1" applyFont="1" applyFill="1" applyBorder="1" applyAlignment="1">
      <alignment horizontal="center" vertical="center" wrapText="1"/>
    </xf>
    <xf numFmtId="1" fontId="96" fillId="6" borderId="2" xfId="0" applyNumberFormat="1" applyFont="1" applyFill="1" applyBorder="1" applyAlignment="1">
      <alignment horizontal="center" vertical="center" wrapText="1"/>
    </xf>
    <xf numFmtId="1" fontId="96" fillId="6" borderId="3" xfId="0" applyNumberFormat="1" applyFont="1" applyFill="1" applyBorder="1" applyAlignment="1">
      <alignment horizontal="center" vertical="center" wrapText="1"/>
    </xf>
    <xf numFmtId="1" fontId="17" fillId="0" borderId="9" xfId="0" applyNumberFormat="1" applyFont="1" applyBorder="1" applyAlignment="1">
      <alignment horizontal="center"/>
    </xf>
    <xf numFmtId="1" fontId="17" fillId="0" borderId="10" xfId="0" applyNumberFormat="1" applyFont="1" applyBorder="1" applyAlignment="1">
      <alignment horizontal="center"/>
    </xf>
    <xf numFmtId="1" fontId="17" fillId="0" borderId="13" xfId="0" applyNumberFormat="1" applyFont="1" applyBorder="1" applyAlignment="1">
      <alignment horizontal="center"/>
    </xf>
    <xf numFmtId="1" fontId="0" fillId="10" borderId="4" xfId="0" applyNumberFormat="1" applyFill="1" applyBorder="1" applyAlignment="1">
      <alignment horizontal="center"/>
    </xf>
    <xf numFmtId="1" fontId="0" fillId="10" borderId="5" xfId="0" applyNumberFormat="1" applyFill="1" applyBorder="1" applyAlignment="1">
      <alignment horizontal="center"/>
    </xf>
    <xf numFmtId="1" fontId="0" fillId="10" borderId="6" xfId="0" applyNumberFormat="1" applyFill="1" applyBorder="1" applyAlignment="1">
      <alignment horizontal="center"/>
    </xf>
    <xf numFmtId="9" fontId="0" fillId="0" borderId="9" xfId="1" applyFont="1" applyBorder="1" applyAlignment="1">
      <alignment horizontal="center" vertical="center"/>
    </xf>
    <xf numFmtId="9" fontId="0" fillId="0" borderId="10" xfId="1" applyFont="1" applyBorder="1" applyAlignment="1">
      <alignment horizontal="center" vertical="center"/>
    </xf>
    <xf numFmtId="9" fontId="0" fillId="0" borderId="13" xfId="1" applyFont="1" applyBorder="1" applyAlignment="1">
      <alignment horizontal="center" vertical="center"/>
    </xf>
    <xf numFmtId="1" fontId="16" fillId="0" borderId="0" xfId="0" applyNumberFormat="1" applyFont="1"/>
    <xf numFmtId="0" fontId="18" fillId="0" borderId="0" xfId="0" applyFont="1" applyAlignment="1">
      <alignment horizontal="center"/>
    </xf>
    <xf numFmtId="0" fontId="104" fillId="0" borderId="0" xfId="0" applyFont="1" applyAlignment="1">
      <alignment horizontal="center" vertical="center"/>
    </xf>
    <xf numFmtId="0" fontId="100" fillId="0" borderId="0" xfId="0" applyFont="1"/>
    <xf numFmtId="0" fontId="106" fillId="0" borderId="0" xfId="0" applyFont="1"/>
    <xf numFmtId="0" fontId="107" fillId="0" borderId="0" xfId="0" applyFont="1" applyAlignment="1">
      <alignment horizontal="center" vertical="center"/>
    </xf>
    <xf numFmtId="0" fontId="16" fillId="0" borderId="0" xfId="0" applyFont="1"/>
    <xf numFmtId="0" fontId="31" fillId="22" borderId="0" xfId="2" applyFont="1" applyFill="1"/>
    <xf numFmtId="0" fontId="2" fillId="16" borderId="0" xfId="0" applyFont="1" applyFill="1"/>
    <xf numFmtId="0" fontId="19" fillId="9" borderId="0" xfId="2" applyFill="1"/>
    <xf numFmtId="0" fontId="108" fillId="35" borderId="0" xfId="0" applyFont="1" applyFill="1"/>
    <xf numFmtId="0" fontId="108" fillId="35" borderId="0" xfId="0" applyFont="1" applyFill="1" applyAlignment="1">
      <alignment horizontal="center"/>
    </xf>
    <xf numFmtId="0" fontId="58" fillId="35" borderId="0" xfId="0" applyFont="1" applyFill="1" applyAlignment="1">
      <alignment horizontal="left" vertical="center"/>
    </xf>
    <xf numFmtId="14" fontId="0" fillId="0" borderId="0" xfId="0" applyNumberFormat="1" applyAlignment="1">
      <alignment horizontal="left" vertical="center"/>
    </xf>
    <xf numFmtId="0" fontId="109" fillId="0" borderId="0" xfId="0" applyFont="1" applyAlignment="1">
      <alignment horizontal="left" vertical="center"/>
    </xf>
    <xf numFmtId="0" fontId="110" fillId="0" borderId="0" xfId="0" applyFont="1"/>
    <xf numFmtId="0" fontId="105" fillId="25" borderId="0" xfId="2" applyFont="1" applyFill="1" applyBorder="1" applyAlignment="1">
      <alignment horizontal="center" vertical="center" wrapText="1"/>
    </xf>
    <xf numFmtId="0" fontId="3" fillId="0" borderId="7" xfId="0" applyFont="1" applyBorder="1" applyAlignment="1">
      <alignment horizontal="center" vertical="center" textRotation="90"/>
    </xf>
    <xf numFmtId="0" fontId="3" fillId="0" borderId="14" xfId="0" applyFont="1" applyBorder="1" applyAlignment="1">
      <alignment horizontal="center" vertical="center" textRotation="90"/>
    </xf>
    <xf numFmtId="0" fontId="3" fillId="0" borderId="24" xfId="0" applyFont="1" applyBorder="1" applyAlignment="1">
      <alignment horizontal="center" vertical="center" textRotation="90"/>
    </xf>
    <xf numFmtId="0" fontId="12" fillId="6" borderId="12" xfId="0" applyFont="1" applyFill="1" applyBorder="1" applyAlignment="1">
      <alignment horizontal="center" vertical="center" wrapText="1"/>
    </xf>
    <xf numFmtId="0" fontId="12" fillId="6" borderId="8" xfId="0" applyFont="1" applyFill="1" applyBorder="1" applyAlignment="1">
      <alignment horizontal="left" vertical="center" wrapText="1"/>
    </xf>
    <xf numFmtId="0" fontId="12" fillId="7" borderId="17" xfId="0" applyFont="1" applyFill="1" applyBorder="1" applyAlignment="1">
      <alignment horizontal="center" vertical="center" wrapText="1"/>
    </xf>
    <xf numFmtId="0" fontId="12" fillId="8" borderId="19" xfId="0" applyFont="1" applyFill="1" applyBorder="1" applyAlignment="1">
      <alignment horizontal="center" vertical="center" wrapText="1"/>
    </xf>
    <xf numFmtId="0" fontId="12" fillId="8" borderId="18" xfId="0" applyFont="1" applyFill="1" applyBorder="1" applyAlignment="1">
      <alignment horizontal="center" vertical="center" wrapText="1"/>
    </xf>
    <xf numFmtId="0" fontId="12" fillId="6" borderId="71" xfId="0" applyFont="1" applyFill="1" applyBorder="1" applyAlignment="1">
      <alignment horizontal="center" vertical="center" wrapText="1"/>
    </xf>
    <xf numFmtId="0" fontId="12" fillId="6" borderId="20" xfId="0" applyFont="1" applyFill="1" applyBorder="1" applyAlignment="1">
      <alignment horizontal="left" vertical="center" wrapText="1"/>
    </xf>
    <xf numFmtId="0" fontId="12" fillId="6" borderId="0" xfId="0" applyFont="1" applyFill="1" applyAlignment="1">
      <alignment horizontal="left" vertical="center" wrapText="1"/>
    </xf>
    <xf numFmtId="0" fontId="12" fillId="6" borderId="72" xfId="0" applyFont="1" applyFill="1" applyBorder="1" applyAlignment="1">
      <alignment horizontal="left" vertical="center" wrapText="1"/>
    </xf>
    <xf numFmtId="0" fontId="12" fillId="7" borderId="21" xfId="0" applyFont="1" applyFill="1" applyBorder="1" applyAlignment="1">
      <alignment horizontal="center" vertical="center" wrapText="1"/>
    </xf>
    <xf numFmtId="0" fontId="12" fillId="8" borderId="22" xfId="0" applyFont="1" applyFill="1" applyBorder="1" applyAlignment="1">
      <alignment horizontal="center" vertical="center" wrapText="1"/>
    </xf>
    <xf numFmtId="0" fontId="12" fillId="6" borderId="73"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12" fillId="6" borderId="15" xfId="0" applyFont="1" applyFill="1" applyBorder="1" applyAlignment="1">
      <alignment horizontal="left" vertical="center" wrapText="1"/>
    </xf>
    <xf numFmtId="0" fontId="12" fillId="6" borderId="70" xfId="0" applyFont="1" applyFill="1" applyBorder="1" applyAlignment="1">
      <alignment horizontal="left" vertical="center" wrapText="1"/>
    </xf>
    <xf numFmtId="0" fontId="11" fillId="6" borderId="23"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15" xfId="0" applyFont="1" applyFill="1" applyBorder="1" applyAlignment="1">
      <alignment horizontal="left" vertical="center" wrapText="1"/>
    </xf>
    <xf numFmtId="0" fontId="13" fillId="7" borderId="68" xfId="0" applyFont="1" applyFill="1" applyBorder="1" applyAlignment="1">
      <alignment horizontal="center" vertical="center" wrapText="1"/>
    </xf>
    <xf numFmtId="0" fontId="13" fillId="7" borderId="17" xfId="0" applyFont="1" applyFill="1" applyBorder="1" applyAlignment="1">
      <alignment horizontal="center" vertical="center" wrapText="1"/>
    </xf>
    <xf numFmtId="0" fontId="13" fillId="7" borderId="16" xfId="0" applyFont="1" applyFill="1" applyBorder="1" applyAlignment="1">
      <alignment horizontal="center" vertical="center" wrapText="1"/>
    </xf>
    <xf numFmtId="0" fontId="13" fillId="8" borderId="69" xfId="0" applyFont="1" applyFill="1" applyBorder="1" applyAlignment="1">
      <alignment horizontal="center" vertical="center" wrapText="1"/>
    </xf>
    <xf numFmtId="0" fontId="13" fillId="8" borderId="19"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71" xfId="0" applyFont="1" applyFill="1" applyBorder="1" applyAlignment="1">
      <alignment horizontal="center" vertical="center" wrapText="1"/>
    </xf>
    <xf numFmtId="0" fontId="2" fillId="29" borderId="0" xfId="0" applyFont="1" applyFill="1" applyAlignment="1">
      <alignment horizontal="center" vertical="center"/>
    </xf>
    <xf numFmtId="0" fontId="80" fillId="29" borderId="0" xfId="0" applyFont="1" applyFill="1" applyAlignment="1">
      <alignment horizontal="center" vertical="top" wrapText="1"/>
    </xf>
    <xf numFmtId="0" fontId="86" fillId="0" borderId="87" xfId="0" applyFont="1" applyBorder="1" applyAlignment="1">
      <alignment horizontal="left"/>
    </xf>
    <xf numFmtId="0" fontId="2" fillId="22" borderId="61" xfId="0" applyFont="1" applyFill="1" applyBorder="1" applyAlignment="1">
      <alignment horizontal="center" vertical="center"/>
    </xf>
    <xf numFmtId="0" fontId="80" fillId="22" borderId="91" xfId="0" applyFont="1" applyFill="1" applyBorder="1" applyAlignment="1">
      <alignment horizontal="center" vertical="top"/>
    </xf>
  </cellXfs>
  <cellStyles count="9">
    <cellStyle name="Hyperlink" xfId="6" xr:uid="{00000000-000B-0000-0000-000008000000}"/>
    <cellStyle name="Lien hypertexte" xfId="2" builtinId="8"/>
    <cellStyle name="Milliers" xfId="3" builtinId="3"/>
    <cellStyle name="Normal" xfId="0" builtinId="0"/>
    <cellStyle name="Normal 2" xfId="4" xr:uid="{0AD83AC8-3E7E-4DA7-B0DE-09B22167FB0A}"/>
    <cellStyle name="Normal 4 2" xfId="7" xr:uid="{BCCEBD37-652B-4547-998B-D0CC9B674691}"/>
    <cellStyle name="Normal_Annexes A4" xfId="8" xr:uid="{0E470EA1-0A26-4995-A7A9-51005BED471A}"/>
    <cellStyle name="Normal_Chap. 6 Tableaux_Annexe" xfId="5" xr:uid="{65F1B303-618C-45CC-8AEE-02B8BD258B3E}"/>
    <cellStyle name="Pourcentage" xfId="1" builtinId="5"/>
  </cellStyles>
  <dxfs count="13">
    <dxf>
      <font>
        <b/>
        <i val="0"/>
      </font>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owerPivotData" Target="model/item.data"/><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886276</xdr:colOff>
      <xdr:row>6</xdr:row>
      <xdr:rowOff>107668</xdr:rowOff>
    </xdr:from>
    <xdr:to>
      <xdr:col>18</xdr:col>
      <xdr:colOff>256910</xdr:colOff>
      <xdr:row>20</xdr:row>
      <xdr:rowOff>57918</xdr:rowOff>
    </xdr:to>
    <xdr:pic>
      <xdr:nvPicPr>
        <xdr:cNvPr id="2" name="Image 1">
          <a:extLst>
            <a:ext uri="{FF2B5EF4-FFF2-40B4-BE49-F238E27FC236}">
              <a16:creationId xmlns:a16="http://schemas.microsoft.com/office/drawing/2014/main" id="{E59ED057-4CA7-315C-4211-E028DC48E9BC}"/>
            </a:ext>
          </a:extLst>
        </xdr:cNvPr>
        <xdr:cNvPicPr>
          <a:picLocks noChangeAspect="1"/>
        </xdr:cNvPicPr>
      </xdr:nvPicPr>
      <xdr:blipFill>
        <a:blip xmlns:r="http://schemas.openxmlformats.org/officeDocument/2006/relationships" r:embed="rId1"/>
        <a:stretch>
          <a:fillRect/>
        </a:stretch>
      </xdr:blipFill>
      <xdr:spPr>
        <a:xfrm>
          <a:off x="3090633" y="1536418"/>
          <a:ext cx="16787777" cy="25528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627290</xdr:colOff>
      <xdr:row>5</xdr:row>
      <xdr:rowOff>65768</xdr:rowOff>
    </xdr:from>
    <xdr:to>
      <xdr:col>14</xdr:col>
      <xdr:colOff>27215</xdr:colOff>
      <xdr:row>14</xdr:row>
      <xdr:rowOff>8618</xdr:rowOff>
    </xdr:to>
    <xdr:pic>
      <xdr:nvPicPr>
        <xdr:cNvPr id="5" name="Image 3">
          <a:extLst>
            <a:ext uri="{FF2B5EF4-FFF2-40B4-BE49-F238E27FC236}">
              <a16:creationId xmlns:a16="http://schemas.microsoft.com/office/drawing/2014/main" id="{8A7FF3A7-3562-2F13-A76B-C91EF5C422BA}"/>
            </a:ext>
          </a:extLst>
        </xdr:cNvPr>
        <xdr:cNvPicPr>
          <a:picLocks noChangeAspect="1"/>
        </xdr:cNvPicPr>
      </xdr:nvPicPr>
      <xdr:blipFill>
        <a:blip xmlns:r="http://schemas.openxmlformats.org/officeDocument/2006/relationships" r:embed="rId1"/>
        <a:stretch>
          <a:fillRect/>
        </a:stretch>
      </xdr:blipFill>
      <xdr:spPr>
        <a:xfrm>
          <a:off x="1389290" y="1045482"/>
          <a:ext cx="11020425" cy="15348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46181</xdr:colOff>
      <xdr:row>6</xdr:row>
      <xdr:rowOff>85147</xdr:rowOff>
    </xdr:from>
    <xdr:to>
      <xdr:col>13</xdr:col>
      <xdr:colOff>879369</xdr:colOff>
      <xdr:row>25</xdr:row>
      <xdr:rowOff>158930</xdr:rowOff>
    </xdr:to>
    <xdr:pic>
      <xdr:nvPicPr>
        <xdr:cNvPr id="2" name="Image 1">
          <a:extLst>
            <a:ext uri="{FF2B5EF4-FFF2-40B4-BE49-F238E27FC236}">
              <a16:creationId xmlns:a16="http://schemas.microsoft.com/office/drawing/2014/main" id="{A4D9652C-967B-458B-8583-85A0EA129574}"/>
            </a:ext>
          </a:extLst>
        </xdr:cNvPr>
        <xdr:cNvPicPr>
          <a:picLocks noChangeAspect="1"/>
        </xdr:cNvPicPr>
      </xdr:nvPicPr>
      <xdr:blipFill>
        <a:blip xmlns:r="http://schemas.openxmlformats.org/officeDocument/2006/relationships" r:embed="rId1"/>
        <a:stretch>
          <a:fillRect/>
        </a:stretch>
      </xdr:blipFill>
      <xdr:spPr>
        <a:xfrm>
          <a:off x="1639454" y="1274329"/>
          <a:ext cx="13975315" cy="35804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1061357</xdr:colOff>
      <xdr:row>7</xdr:row>
      <xdr:rowOff>9072</xdr:rowOff>
    </xdr:from>
    <xdr:to>
      <xdr:col>13</xdr:col>
      <xdr:colOff>884510</xdr:colOff>
      <xdr:row>31</xdr:row>
      <xdr:rowOff>150944</xdr:rowOff>
    </xdr:to>
    <xdr:pic>
      <xdr:nvPicPr>
        <xdr:cNvPr id="4" name="Image 3">
          <a:extLst>
            <a:ext uri="{FF2B5EF4-FFF2-40B4-BE49-F238E27FC236}">
              <a16:creationId xmlns:a16="http://schemas.microsoft.com/office/drawing/2014/main" id="{853F200A-788E-4BEB-C3C9-69C3045D70E7}"/>
            </a:ext>
          </a:extLst>
        </xdr:cNvPr>
        <xdr:cNvPicPr>
          <a:picLocks noChangeAspect="1"/>
        </xdr:cNvPicPr>
      </xdr:nvPicPr>
      <xdr:blipFill>
        <a:blip xmlns:r="http://schemas.openxmlformats.org/officeDocument/2006/relationships" r:embed="rId1"/>
        <a:stretch>
          <a:fillRect/>
        </a:stretch>
      </xdr:blipFill>
      <xdr:spPr>
        <a:xfrm>
          <a:off x="2703286" y="1360715"/>
          <a:ext cx="16405432" cy="44961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15</xdr:col>
      <xdr:colOff>887469</xdr:colOff>
      <xdr:row>14</xdr:row>
      <xdr:rowOff>50679</xdr:rowOff>
    </xdr:to>
    <xdr:pic>
      <xdr:nvPicPr>
        <xdr:cNvPr id="2" name="Image 1">
          <a:extLst>
            <a:ext uri="{FF2B5EF4-FFF2-40B4-BE49-F238E27FC236}">
              <a16:creationId xmlns:a16="http://schemas.microsoft.com/office/drawing/2014/main" id="{9C93E0E3-FB89-1B7A-0EF9-DF41549F1D04}"/>
            </a:ext>
          </a:extLst>
        </xdr:cNvPr>
        <xdr:cNvPicPr>
          <a:picLocks noChangeAspect="1"/>
        </xdr:cNvPicPr>
      </xdr:nvPicPr>
      <xdr:blipFill>
        <a:blip xmlns:r="http://schemas.openxmlformats.org/officeDocument/2006/relationships" r:embed="rId1"/>
        <a:stretch>
          <a:fillRect/>
        </a:stretch>
      </xdr:blipFill>
      <xdr:spPr>
        <a:xfrm>
          <a:off x="2235200" y="1739900"/>
          <a:ext cx="16533333" cy="9714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762001</xdr:colOff>
      <xdr:row>8</xdr:row>
      <xdr:rowOff>0</xdr:rowOff>
    </xdr:from>
    <xdr:to>
      <xdr:col>19</xdr:col>
      <xdr:colOff>580772</xdr:colOff>
      <xdr:row>13</xdr:row>
      <xdr:rowOff>30268</xdr:rowOff>
    </xdr:to>
    <xdr:pic>
      <xdr:nvPicPr>
        <xdr:cNvPr id="2" name="Image 1">
          <a:extLst>
            <a:ext uri="{FF2B5EF4-FFF2-40B4-BE49-F238E27FC236}">
              <a16:creationId xmlns:a16="http://schemas.microsoft.com/office/drawing/2014/main" id="{6DB024D0-F19A-444F-AB0F-53302A0A3CD9}"/>
            </a:ext>
          </a:extLst>
        </xdr:cNvPr>
        <xdr:cNvPicPr>
          <a:picLocks noChangeAspect="1"/>
        </xdr:cNvPicPr>
      </xdr:nvPicPr>
      <xdr:blipFill>
        <a:blip xmlns:r="http://schemas.openxmlformats.org/officeDocument/2006/relationships" r:embed="rId1"/>
        <a:stretch>
          <a:fillRect/>
        </a:stretch>
      </xdr:blipFill>
      <xdr:spPr>
        <a:xfrm>
          <a:off x="2013858" y="1510393"/>
          <a:ext cx="16640375" cy="9115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958274</xdr:colOff>
      <xdr:row>8</xdr:row>
      <xdr:rowOff>23092</xdr:rowOff>
    </xdr:from>
    <xdr:to>
      <xdr:col>19</xdr:col>
      <xdr:colOff>750585</xdr:colOff>
      <xdr:row>17</xdr:row>
      <xdr:rowOff>112927</xdr:rowOff>
    </xdr:to>
    <xdr:pic>
      <xdr:nvPicPr>
        <xdr:cNvPr id="2" name="Image 1">
          <a:extLst>
            <a:ext uri="{FF2B5EF4-FFF2-40B4-BE49-F238E27FC236}">
              <a16:creationId xmlns:a16="http://schemas.microsoft.com/office/drawing/2014/main" id="{7E2AF228-ADFB-06CB-41BC-16C53AF3F9B9}"/>
            </a:ext>
          </a:extLst>
        </xdr:cNvPr>
        <xdr:cNvPicPr>
          <a:picLocks noChangeAspect="1"/>
        </xdr:cNvPicPr>
      </xdr:nvPicPr>
      <xdr:blipFill>
        <a:blip xmlns:r="http://schemas.openxmlformats.org/officeDocument/2006/relationships" r:embed="rId1"/>
        <a:stretch>
          <a:fillRect/>
        </a:stretch>
      </xdr:blipFill>
      <xdr:spPr>
        <a:xfrm>
          <a:off x="2493819" y="1581728"/>
          <a:ext cx="17428571" cy="17523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5</xdr:row>
      <xdr:rowOff>146028</xdr:rowOff>
    </xdr:from>
    <xdr:to>
      <xdr:col>12</xdr:col>
      <xdr:colOff>341717</xdr:colOff>
      <xdr:row>17</xdr:row>
      <xdr:rowOff>88569</xdr:rowOff>
    </xdr:to>
    <xdr:pic>
      <xdr:nvPicPr>
        <xdr:cNvPr id="2" name="Image 1">
          <a:extLst>
            <a:ext uri="{FF2B5EF4-FFF2-40B4-BE49-F238E27FC236}">
              <a16:creationId xmlns:a16="http://schemas.microsoft.com/office/drawing/2014/main" id="{B14ABDE6-E049-5987-9D5F-F087BCCC9705}"/>
            </a:ext>
          </a:extLst>
        </xdr:cNvPr>
        <xdr:cNvPicPr>
          <a:picLocks noChangeAspect="1"/>
        </xdr:cNvPicPr>
      </xdr:nvPicPr>
      <xdr:blipFill>
        <a:blip xmlns:r="http://schemas.openxmlformats.org/officeDocument/2006/relationships" r:embed="rId1"/>
        <a:stretch>
          <a:fillRect/>
        </a:stretch>
      </xdr:blipFill>
      <xdr:spPr>
        <a:xfrm>
          <a:off x="2390775" y="1498578"/>
          <a:ext cx="9660023" cy="211106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29883</xdr:colOff>
      <xdr:row>6</xdr:row>
      <xdr:rowOff>74673</xdr:rowOff>
    </xdr:from>
    <xdr:to>
      <xdr:col>13</xdr:col>
      <xdr:colOff>344242</xdr:colOff>
      <xdr:row>28</xdr:row>
      <xdr:rowOff>27651</xdr:rowOff>
    </xdr:to>
    <xdr:pic>
      <xdr:nvPicPr>
        <xdr:cNvPr id="2" name="Image 1">
          <a:extLst>
            <a:ext uri="{FF2B5EF4-FFF2-40B4-BE49-F238E27FC236}">
              <a16:creationId xmlns:a16="http://schemas.microsoft.com/office/drawing/2014/main" id="{9FCB8C4D-51C4-4266-95FD-C8D26BD0479D}"/>
            </a:ext>
          </a:extLst>
        </xdr:cNvPr>
        <xdr:cNvPicPr>
          <a:picLocks noChangeAspect="1"/>
        </xdr:cNvPicPr>
      </xdr:nvPicPr>
      <xdr:blipFill>
        <a:blip xmlns:r="http://schemas.openxmlformats.org/officeDocument/2006/relationships" r:embed="rId1"/>
        <a:stretch>
          <a:fillRect/>
        </a:stretch>
      </xdr:blipFill>
      <xdr:spPr>
        <a:xfrm>
          <a:off x="2379383" y="1160523"/>
          <a:ext cx="10630841" cy="393760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23091</xdr:colOff>
      <xdr:row>6</xdr:row>
      <xdr:rowOff>92363</xdr:rowOff>
    </xdr:from>
    <xdr:to>
      <xdr:col>14</xdr:col>
      <xdr:colOff>7297</xdr:colOff>
      <xdr:row>13</xdr:row>
      <xdr:rowOff>104889</xdr:rowOff>
    </xdr:to>
    <xdr:pic>
      <xdr:nvPicPr>
        <xdr:cNvPr id="2" name="Image 1">
          <a:extLst>
            <a:ext uri="{FF2B5EF4-FFF2-40B4-BE49-F238E27FC236}">
              <a16:creationId xmlns:a16="http://schemas.microsoft.com/office/drawing/2014/main" id="{46BBE882-7281-1250-0C16-D0F7656C4267}"/>
            </a:ext>
          </a:extLst>
        </xdr:cNvPr>
        <xdr:cNvPicPr>
          <a:picLocks noChangeAspect="1"/>
        </xdr:cNvPicPr>
      </xdr:nvPicPr>
      <xdr:blipFill>
        <a:blip xmlns:r="http://schemas.openxmlformats.org/officeDocument/2006/relationships" r:embed="rId1"/>
        <a:stretch>
          <a:fillRect/>
        </a:stretch>
      </xdr:blipFill>
      <xdr:spPr>
        <a:xfrm>
          <a:off x="1616364" y="1281545"/>
          <a:ext cx="14212454" cy="13171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xelERBA\Downloads\Annexe-2-Methode-et-sources.xlsx" TargetMode="External"/><Relationship Id="rId1" Type="http://schemas.openxmlformats.org/officeDocument/2006/relationships/externalLinkPath" Target="file:///C:\Users\AxelERBA\Downloads\Annexe-2-Methode-et-sour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érimètres"/>
      <sheetName val="Synthèse"/>
      <sheetName val="axPOP"/>
      <sheetName val="CT_RENO"/>
      <sheetName val="DEP_ENER"/>
      <sheetName val="axENER"/>
      <sheetName val="axDEP_ENER"/>
      <sheetName val="TER_NEUF"/>
      <sheetName val="VP"/>
      <sheetName val="VUL"/>
      <sheetName val="BUSCAR"/>
      <sheetName val="MR_FER"/>
      <sheetName val="ROUTES"/>
      <sheetName val="AxAERO"/>
      <sheetName val="RESTAUCO"/>
      <sheetName val="MAT_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persons/person.xml><?xml version="1.0" encoding="utf-8"?>
<personList xmlns="http://schemas.microsoft.com/office/spreadsheetml/2018/threadedcomments" xmlns:x="http://schemas.openxmlformats.org/spreadsheetml/2006/main">
  <person displayName="Axel ERBA" id="{C15E0670-4410-4ECE-B07D-770B9E42344F}" userId="S::axel.erba@i4ce.org::c01bc6c5-f6fa-42b7-af07-bd1d1d825ae4"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Q32" dT="2025-12-04T10:45:03.60" personId="{C15E0670-4410-4ECE-B07D-770B9E42344F}" id="{7203F7B3-9510-4FD7-BAF0-13EB7EDC9AD2}">
    <text>Tout passer en €2024</text>
  </threadedComment>
</ThreadedComments>
</file>

<file path=xl/threadedComments/threadedComment2.xml><?xml version="1.0" encoding="utf-8"?>
<ThreadedComments xmlns="http://schemas.microsoft.com/office/spreadsheetml/2018/threadedcomments" xmlns:x="http://schemas.openxmlformats.org/spreadsheetml/2006/main">
  <threadedComment ref="C84" dT="2025-03-18T13:50:15.16" personId="{C15E0670-4410-4ECE-B07D-770B9E42344F}" id="{9E89E100-B0F9-46DB-88BB-48C84EA5A6A1}" done="1">
    <text>Vérifier avec LBP</text>
  </threadedComment>
  <threadedComment ref="D84" dT="2025-03-18T13:50:15.16" personId="{C15E0670-4410-4ECE-B07D-770B9E42344F}" id="{09C1C108-A13A-440E-A641-04AB4B928E5E}" done="1">
    <text>Vérifier avec LBP</text>
  </threadedComment>
  <threadedComment ref="H84" dT="2025-03-18T13:50:15.16" personId="{C15E0670-4410-4ECE-B07D-770B9E42344F}" id="{77B80013-982B-441C-9108-255EDA1983A9}">
    <text>Vérifier avec LBP</text>
  </threadedComment>
  <threadedComment ref="P84" dT="2025-03-18T13:50:15.16" personId="{C15E0670-4410-4ECE-B07D-770B9E42344F}" id="{C90DFEA2-C05D-47A3-9118-1A9F372AF9E6}">
    <text>Vérifier avec LBP</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4ce.org/publication/evaluation-climat-des-budgets-des-collectivites-territoriales-guide-methodologique/" TargetMode="External"/><Relationship Id="rId1" Type="http://schemas.openxmlformats.org/officeDocument/2006/relationships/hyperlink" Target="https://www.i4ce.org/publication/panorama-financements-climat-edition-2025/"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ecologie.gouv.fr/politiques-publiques/3e-strategie-nationale-bas-carbone-snbc-3"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routesdefrance.com/wp-content/uploads/2015/06/dossier-de-presse-ag-2015-usirf.pdf" TargetMode="External"/><Relationship Id="rId3" Type="http://schemas.openxmlformats.org/officeDocument/2006/relationships/hyperlink" Target="https://www.statistiques.developpement-durable.gouv.fr/bilan-annuel-des-transports-en-2023" TargetMode="External"/><Relationship Id="rId7" Type="http://schemas.openxmlformats.org/officeDocument/2006/relationships/hyperlink" Target="https://www.nouvelle-aquitaine.developpement-durable.gouv.fr/IMG/pdf/fiche_voirie_150501_cle0647fd.pdf" TargetMode="External"/><Relationship Id="rId2" Type="http://schemas.openxmlformats.org/officeDocument/2006/relationships/hyperlink" Target="https://artificialisation.developpement-durable.gouv.fr/" TargetMode="External"/><Relationship Id="rId1" Type="http://schemas.openxmlformats.org/officeDocument/2006/relationships/hyperlink" Target="https://www.collectivites-locales.gouv.fr/files/Accueil/DESL/2025/BIS%20192%20-%20les%20d%C3%A9penses%20de%20voirie%202013-2023%20v4.pdf" TargetMode="External"/><Relationship Id="rId6" Type="http://schemas.openxmlformats.org/officeDocument/2006/relationships/hyperlink" Target="https://artificialisation.developpement-durable.gouv.fr/" TargetMode="External"/><Relationship Id="rId11" Type="http://schemas.openxmlformats.org/officeDocument/2006/relationships/drawing" Target="../drawings/drawing8.xml"/><Relationship Id="rId5" Type="http://schemas.openxmlformats.org/officeDocument/2006/relationships/hyperlink" Target="https://artificialisation.developpement-durable.gouv.fr/comprendre-et-sensibiliser/faq" TargetMode="External"/><Relationship Id="rId10" Type="http://schemas.openxmlformats.org/officeDocument/2006/relationships/printerSettings" Target="../printerSettings/printerSettings10.bin"/><Relationship Id="rId4" Type="http://schemas.openxmlformats.org/officeDocument/2006/relationships/hyperlink" Target="https://www.cerema.fr/fr/system/files?file=documents%2F2017%2F08%2FAnalyse_regionale_Bretagne_PDL_2014_DTerOuest.pdf&amp;utm_source=chatgpt.com" TargetMode="External"/><Relationship Id="rId9" Type="http://schemas.openxmlformats.org/officeDocument/2006/relationships/hyperlink" Target="https://www.cerema.fr/fr/system/files?file=documents%2F2017%2F08%2FAnalyse_regionale_Bretagne_PDL_2014_DTerOuest.pdf&amp;utm_source=chatgpt.com"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ma-cantine.agriculture.gouv.fr/statistiques-regionales?year=2023" TargetMode="External"/><Relationship Id="rId3" Type="http://schemas.openxmlformats.org/officeDocument/2006/relationships/hyperlink" Target="https://www.banquedesterritoires.fr/restauration-collective-275-de-produits-durables-et-de-qualite-en-2022" TargetMode="External"/><Relationship Id="rId7" Type="http://schemas.openxmlformats.org/officeDocument/2006/relationships/hyperlink" Target="https://www.vegecantines.fr/media/files/AVF_Enquete-EGalim-menu-vege_Synthese_fev2024.pdf" TargetMode="External"/><Relationship Id="rId2" Type="http://schemas.openxmlformats.org/officeDocument/2006/relationships/hyperlink" Target="https://www.abiodoc.com/actualite-de-la-bio/plateforme-ma-cantine-chiffres-2023" TargetMode="External"/><Relationship Id="rId1" Type="http://schemas.openxmlformats.org/officeDocument/2006/relationships/hyperlink" Target="https://ma-cantine-metabase.cleverapps.io/public/dashboard/3dab8a21-c4b9-46e1-84fa-7ba485ddfbbb" TargetMode="External"/><Relationship Id="rId6" Type="http://schemas.openxmlformats.org/officeDocument/2006/relationships/hyperlink" Target="https://www.cnfpt.fr/sites/default/files/etude_sectorielle_restauration_2019_09_05.pdf" TargetMode="External"/><Relationship Id="rId11" Type="http://schemas.openxmlformats.org/officeDocument/2006/relationships/drawing" Target="../drawings/drawing9.xml"/><Relationship Id="rId5" Type="http://schemas.openxmlformats.org/officeDocument/2006/relationships/hyperlink" Target="https://www.assemblee-nationale.fr/dyn/15/textes/l15b0627_etude-impact" TargetMode="External"/><Relationship Id="rId10" Type="http://schemas.openxmlformats.org/officeDocument/2006/relationships/hyperlink" Target="https://www.igf.finances.gouv.fr/files/live/sites/igf/files/contributed/Rapports%20de%20mission/2024/Masse%20salariale%20et%20achats%20des%20collectivit%C3%A9s%20territoriales.pdf" TargetMode="External"/><Relationship Id="rId4" Type="http://schemas.openxmlformats.org/officeDocument/2006/relationships/hyperlink" Target="https://www.agro-media.fr/dossier/restauration-collective-seduite-bio-25011.html" TargetMode="External"/><Relationship Id="rId9" Type="http://schemas.openxmlformats.org/officeDocument/2006/relationships/hyperlink" Target="https://librairie.ademe.fr/ged/8202/RAPPORT-Etude-couts-restauration-scolaire-et-transition.pdf"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www.ecologie.gouv.fr/politiques-publiques/3e-strategie-nationale-bas-carbone-snbc-3"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view.officeapps.live.com/op/view.aspx?src=https%3A%2F%2Fwww.statistiques.developpement-durable.gouv.fr%2Fmedia%2F7601%2Fdownload%3Finline&amp;wdOrigin=BROWSELINK" TargetMode="External"/><Relationship Id="rId13" Type="http://schemas.openxmlformats.org/officeDocument/2006/relationships/printerSettings" Target="../printerSettings/printerSettings5.bin"/><Relationship Id="rId3" Type="http://schemas.openxmlformats.org/officeDocument/2006/relationships/hyperlink" Target="https://librairie.ademe.fr/batiment/493-depenses-energetiques-des-collectivites-locales.html" TargetMode="External"/><Relationship Id="rId7" Type="http://schemas.openxmlformats.org/officeDocument/2006/relationships/hyperlink" Target="https://view.officeapps.live.com/op/view.aspx?src=https%3A%2F%2Fwww.statistiques.developpement-durable.gouv.fr%2Fmedia%2F7601%2Fdownload%3Finline&amp;wdOrigin=BROWSELINK" TargetMode="External"/><Relationship Id="rId12" Type="http://schemas.openxmlformats.org/officeDocument/2006/relationships/hyperlink" Target="https://www.statistiques.developpement-durable.gouv.fr/les-reseaux-de-chaleur-et-froid-en-2024-0" TargetMode="External"/><Relationship Id="rId17" Type="http://schemas.microsoft.com/office/2017/10/relationships/threadedComment" Target="../threadedComments/threadedComment2.xml"/><Relationship Id="rId2" Type="http://schemas.openxmlformats.org/officeDocument/2006/relationships/hyperlink" Target="https://librairie.ademe.fr/batiment/493-depenses-energetiques-des-collectivites-locales.html" TargetMode="External"/><Relationship Id="rId16" Type="http://schemas.openxmlformats.org/officeDocument/2006/relationships/comments" Target="../comments2.xml"/><Relationship Id="rId1" Type="http://schemas.openxmlformats.org/officeDocument/2006/relationships/hyperlink" Target="https://analysesetdonnees.rte-france.com/production/synthese" TargetMode="External"/><Relationship Id="rId6" Type="http://schemas.openxmlformats.org/officeDocument/2006/relationships/hyperlink" Target="https://librairie.ademe.fr/batiment/493-depenses-energetiques-des-collectivites-locales.html" TargetMode="External"/><Relationship Id="rId11" Type="http://schemas.openxmlformats.org/officeDocument/2006/relationships/hyperlink" Target="https://picbleu.fr/les-articles/convertir-le-fioul-domestique-regles-de-conversion" TargetMode="External"/><Relationship Id="rId5" Type="http://schemas.openxmlformats.org/officeDocument/2006/relationships/hyperlink" Target="https://librairie.ademe.fr/batiment/493-depenses-energetiques-des-collectivites-locales.html" TargetMode="External"/><Relationship Id="rId15" Type="http://schemas.openxmlformats.org/officeDocument/2006/relationships/vmlDrawing" Target="../drawings/vmlDrawing2.vml"/><Relationship Id="rId10" Type="http://schemas.openxmlformats.org/officeDocument/2006/relationships/hyperlink" Target="https://analysesetdonnees.rte-france.com/production/synthese" TargetMode="External"/><Relationship Id="rId4" Type="http://schemas.openxmlformats.org/officeDocument/2006/relationships/hyperlink" Target="https://librairie.ademe.fr/batiment/493-depenses-energetiques-des-collectivites-locales.html" TargetMode="External"/><Relationship Id="rId9" Type="http://schemas.openxmlformats.org/officeDocument/2006/relationships/hyperlink" Target="https://www.statistiques.developpement-durable.gouv.fr/les-reseaux-de-chaleur-et-froid-en-2023" TargetMode="External"/><Relationship Id="rId1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90D80-73C9-4F02-AB0C-5446CB88F141}">
  <sheetPr>
    <tabColor rgb="FFFFFF00"/>
  </sheetPr>
  <dimension ref="A2:T46"/>
  <sheetViews>
    <sheetView showGridLines="0" tabSelected="1" topLeftCell="A25" zoomScale="93" zoomScaleNormal="115" workbookViewId="0">
      <selection activeCell="E31" sqref="E31"/>
    </sheetView>
  </sheetViews>
  <sheetFormatPr baseColWidth="10" defaultColWidth="11.453125" defaultRowHeight="14.5"/>
  <cols>
    <col min="1" max="1" width="11.1796875" style="1536" customWidth="1"/>
    <col min="2" max="2" width="16.54296875" style="1535" customWidth="1"/>
    <col min="3" max="3" width="13.453125" customWidth="1"/>
  </cols>
  <sheetData>
    <row r="2" spans="1:3" ht="21">
      <c r="A2" s="1549" t="s">
        <v>1300</v>
      </c>
      <c r="B2" s="1539"/>
      <c r="C2" s="1549"/>
    </row>
    <row r="3" spans="1:3">
      <c r="A3" t="s">
        <v>1299</v>
      </c>
    </row>
    <row r="4" spans="1:3">
      <c r="A4" s="1548" t="s">
        <v>1298</v>
      </c>
    </row>
    <row r="6" spans="1:3">
      <c r="A6" s="377" t="s">
        <v>1297</v>
      </c>
    </row>
    <row r="7" spans="1:3">
      <c r="A7" s="1547">
        <v>45860</v>
      </c>
    </row>
    <row r="9" spans="1:3" ht="20.25" customHeight="1">
      <c r="A9" s="1546" t="s">
        <v>1296</v>
      </c>
      <c r="B9" s="1545"/>
      <c r="C9" s="1544"/>
    </row>
    <row r="11" spans="1:3">
      <c r="A11" s="1535"/>
      <c r="B11" t="s">
        <v>1295</v>
      </c>
    </row>
    <row r="12" spans="1:3">
      <c r="A12" s="1535"/>
      <c r="B12" s="120"/>
    </row>
    <row r="13" spans="1:3">
      <c r="A13" s="1535"/>
      <c r="B13" s="206"/>
    </row>
    <row r="14" spans="1:3">
      <c r="A14" s="1535"/>
      <c r="B14" t="s">
        <v>1294</v>
      </c>
    </row>
    <row r="15" spans="1:3">
      <c r="A15" s="1535"/>
      <c r="B15" s="206"/>
    </row>
    <row r="16" spans="1:3">
      <c r="A16" s="1535"/>
      <c r="B16" s="1543" t="s">
        <v>1303</v>
      </c>
      <c r="C16" t="s">
        <v>1301</v>
      </c>
    </row>
    <row r="17" spans="2:3">
      <c r="B17" s="1543" t="s">
        <v>1304</v>
      </c>
      <c r="C17" t="s">
        <v>1302</v>
      </c>
    </row>
    <row r="19" spans="2:3">
      <c r="B19" s="1542" t="s">
        <v>1293</v>
      </c>
      <c r="C19" s="1542"/>
    </row>
    <row r="20" spans="2:3">
      <c r="B20"/>
    </row>
    <row r="21" spans="2:3">
      <c r="B21" s="1541" t="s">
        <v>1292</v>
      </c>
      <c r="C21" t="s">
        <v>1305</v>
      </c>
    </row>
    <row r="22" spans="2:3">
      <c r="B22" s="1541" t="s">
        <v>1291</v>
      </c>
      <c r="C22" t="s">
        <v>1306</v>
      </c>
    </row>
    <row r="23" spans="2:3">
      <c r="B23" s="1541" t="s">
        <v>1290</v>
      </c>
      <c r="C23" t="s">
        <v>1319</v>
      </c>
    </row>
    <row r="24" spans="2:3">
      <c r="B24" s="1541" t="s">
        <v>1307</v>
      </c>
      <c r="C24" t="s">
        <v>1308</v>
      </c>
    </row>
    <row r="25" spans="2:3">
      <c r="B25" s="1541" t="s">
        <v>12</v>
      </c>
      <c r="C25" t="s">
        <v>1309</v>
      </c>
    </row>
    <row r="26" spans="2:3">
      <c r="B26" s="1541" t="s">
        <v>14</v>
      </c>
      <c r="C26" t="s">
        <v>1310</v>
      </c>
    </row>
    <row r="27" spans="2:3">
      <c r="B27" s="1541" t="s">
        <v>21</v>
      </c>
      <c r="C27" t="s">
        <v>1311</v>
      </c>
    </row>
    <row r="28" spans="2:3">
      <c r="B28" s="1541" t="s">
        <v>23</v>
      </c>
      <c r="C28" t="s">
        <v>1312</v>
      </c>
    </row>
    <row r="29" spans="2:3">
      <c r="B29" s="1541" t="s">
        <v>29</v>
      </c>
      <c r="C29" t="s">
        <v>1313</v>
      </c>
    </row>
    <row r="30" spans="2:3">
      <c r="B30" s="1541" t="s">
        <v>1318</v>
      </c>
      <c r="C30" t="s">
        <v>1314</v>
      </c>
    </row>
    <row r="31" spans="2:3">
      <c r="B31" s="1541" t="s">
        <v>39</v>
      </c>
      <c r="C31" t="s">
        <v>1315</v>
      </c>
    </row>
    <row r="32" spans="2:3">
      <c r="B32" s="1541" t="s">
        <v>1289</v>
      </c>
      <c r="C32" t="s">
        <v>1316</v>
      </c>
    </row>
    <row r="33" spans="1:20">
      <c r="B33"/>
    </row>
    <row r="34" spans="1:20">
      <c r="B34" t="s">
        <v>1288</v>
      </c>
    </row>
    <row r="35" spans="1:20">
      <c r="B35" t="s">
        <v>1287</v>
      </c>
    </row>
    <row r="36" spans="1:20">
      <c r="B36" t="s">
        <v>1286</v>
      </c>
    </row>
    <row r="37" spans="1:20">
      <c r="B37" t="s">
        <v>1317</v>
      </c>
    </row>
    <row r="38" spans="1:20">
      <c r="A38" s="1535"/>
      <c r="B38" t="s">
        <v>1285</v>
      </c>
    </row>
    <row r="39" spans="1:20">
      <c r="A39" s="1535"/>
      <c r="B39" t="s">
        <v>1284</v>
      </c>
    </row>
    <row r="40" spans="1:20">
      <c r="A40" s="1535"/>
      <c r="B40"/>
    </row>
    <row r="41" spans="1:20" ht="17.25" customHeight="1">
      <c r="C41" s="1540"/>
    </row>
    <row r="42" spans="1:20" ht="15.75" customHeight="1">
      <c r="A42" s="1537" t="s">
        <v>1283</v>
      </c>
      <c r="B42" s="1539"/>
      <c r="C42" s="1538"/>
      <c r="Q42" s="1550" t="s">
        <v>1282</v>
      </c>
      <c r="R42" s="1550"/>
      <c r="S42" s="1550"/>
      <c r="T42" s="1550"/>
    </row>
    <row r="43" spans="1:20" ht="16">
      <c r="A43" s="1537" t="s">
        <v>1279</v>
      </c>
      <c r="Q43" s="1550"/>
      <c r="R43" s="1550"/>
      <c r="S43" s="1550"/>
      <c r="T43" s="1550"/>
    </row>
    <row r="45" spans="1:20" ht="16">
      <c r="A45" s="1537" t="s">
        <v>1281</v>
      </c>
      <c r="Q45" s="1550" t="s">
        <v>1280</v>
      </c>
      <c r="R45" s="1550"/>
      <c r="S45" s="1550"/>
      <c r="T45" s="1550"/>
    </row>
    <row r="46" spans="1:20" ht="16">
      <c r="A46" s="1537" t="s">
        <v>1279</v>
      </c>
      <c r="Q46" s="1550"/>
      <c r="R46" s="1550"/>
      <c r="S46" s="1550"/>
      <c r="T46" s="1550"/>
    </row>
  </sheetData>
  <mergeCells count="2">
    <mergeCell ref="Q42:T43"/>
    <mergeCell ref="Q45:T46"/>
  </mergeCells>
  <hyperlinks>
    <hyperlink ref="B21" location="CT_RENO!A1" display="CT RENO" xr:uid="{D2943E25-D51D-45A0-ABAD-E9CAB8DD106C}"/>
    <hyperlink ref="B26" location="VP!A1" display="VP" xr:uid="{EC5C468F-54A9-4B8A-8B5B-9D3CD1271E93}"/>
    <hyperlink ref="B27" location="VUL!A1" display="VUL" xr:uid="{C87FB784-155F-426D-9D54-FA43DBF3B90E}"/>
    <hyperlink ref="B28" location="BUSCAR!A1" display="BUSCAR" xr:uid="{54186D3A-3357-47AC-9D48-831175893A4D}"/>
    <hyperlink ref="B29" location="MR_FER!A1" display="MR_FER" xr:uid="{04DF6FBB-6CAE-4C01-83AE-F295CD444F02}"/>
    <hyperlink ref="B31" location="RESTAUCO!A1" display="RESTAUCO" xr:uid="{A751A307-FA86-4D56-847B-EC05136F8CBD}"/>
    <hyperlink ref="B32" location="MAT_INFO!A1" display="MAT_INFO" xr:uid="{ACF6BCE4-706B-4D27-84CC-C17966634CA2}"/>
    <hyperlink ref="Q42:T43" r:id="rId1" display="LIEN VERS L'EDITION 2025 DU PANORAMA DES FINANCEMENTS CLIMAT" xr:uid="{E9F9E962-2C00-437C-A10E-8A625D1BDF01}"/>
    <hyperlink ref="B16" location="SynthèseDFHIST!A1" display="SYNTHESEDFHIST" xr:uid="{CEFD3281-FD06-45CE-A929-CF9DA610BBB0}"/>
    <hyperlink ref="B22" location="DEP_ENER!A1" display="DEP_ENER" xr:uid="{1CAF8245-8F91-4482-A9A5-5E9810BABB60}"/>
    <hyperlink ref="B25" location="TER_NEUF!A1" display="TER_NEUF" xr:uid="{782C58F3-6E55-4C17-8AC5-663C86BE5E9F}"/>
    <hyperlink ref="Q45:T46" r:id="rId2" display="LIEN VERS LA METHODOLOGIE ECB (I4CE, 2022) " xr:uid="{BA4138B6-33FA-4F38-8580-4F8E56041946}"/>
    <hyperlink ref="B23" location="axENER!A1" display="axENER" xr:uid="{158786FF-F169-4D13-8E69-D38C1BB7CCEB}"/>
    <hyperlink ref="B30" location="'ROUTES (v2)'!A1" display="ROUTES(V2)" xr:uid="{3A36A6D5-79BA-4C4D-A9B4-D222A7DFE4B8}"/>
    <hyperlink ref="B17" location="'DFHIST+DFPRO'!A1" display="DFHIST+DFPRO" xr:uid="{6523B11A-8B82-4F8E-8A14-F11611D08D01}"/>
    <hyperlink ref="B24" location="axENER2!A1" display="axENER2" xr:uid="{1A5532F5-A3DB-4009-9FC4-F47DF5D91743}"/>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CB5C7-7A31-4D5C-87A6-2DFBDCAC3204}">
  <dimension ref="A1:V111"/>
  <sheetViews>
    <sheetView topLeftCell="A92" zoomScale="61" workbookViewId="0">
      <selection activeCell="J113" sqref="J113"/>
    </sheetView>
  </sheetViews>
  <sheetFormatPr baseColWidth="10" defaultColWidth="11.453125" defaultRowHeight="14.5"/>
  <cols>
    <col min="1" max="1" width="20.54296875" customWidth="1"/>
    <col min="4" max="4" width="16.54296875" customWidth="1"/>
    <col min="8" max="8" width="20.453125" bestFit="1" customWidth="1"/>
    <col min="9" max="9" width="20.7265625" bestFit="1" customWidth="1"/>
    <col min="10" max="13" width="20.453125" bestFit="1" customWidth="1"/>
    <col min="14" max="15" width="19.54296875" bestFit="1" customWidth="1"/>
    <col min="16" max="18" width="20.7265625" bestFit="1" customWidth="1"/>
    <col min="19" max="19" width="20.453125" bestFit="1" customWidth="1"/>
    <col min="20" max="20" width="19.54296875" bestFit="1" customWidth="1"/>
    <col min="21" max="22" width="20.453125" bestFit="1" customWidth="1"/>
  </cols>
  <sheetData>
    <row r="1" spans="1:20" ht="21">
      <c r="A1" s="95" t="s">
        <v>264</v>
      </c>
      <c r="B1" s="95" t="s">
        <v>265</v>
      </c>
      <c r="C1" s="1" t="s">
        <v>578</v>
      </c>
      <c r="H1" s="150">
        <v>2011</v>
      </c>
      <c r="I1" s="151">
        <v>2012</v>
      </c>
      <c r="J1" s="151">
        <v>2013</v>
      </c>
      <c r="K1" s="151">
        <v>2014</v>
      </c>
      <c r="L1" s="151">
        <v>2015</v>
      </c>
      <c r="M1" s="151">
        <v>2016</v>
      </c>
      <c r="N1" s="151">
        <v>2017</v>
      </c>
      <c r="O1" s="151">
        <v>2018</v>
      </c>
      <c r="P1" s="151">
        <v>2019</v>
      </c>
      <c r="Q1" s="151">
        <v>2020</v>
      </c>
      <c r="R1" s="151">
        <v>2021</v>
      </c>
      <c r="S1" s="151">
        <v>2022</v>
      </c>
      <c r="T1" s="152">
        <v>2023</v>
      </c>
    </row>
    <row r="2" spans="1:20">
      <c r="M2" s="2"/>
      <c r="N2" s="3" t="s">
        <v>579</v>
      </c>
      <c r="O2" s="4"/>
      <c r="P2" s="4"/>
      <c r="Q2" s="4"/>
      <c r="R2" s="4"/>
      <c r="S2" s="4"/>
      <c r="T2" s="5"/>
    </row>
    <row r="4" spans="1:20">
      <c r="N4" s="6" t="s">
        <v>579</v>
      </c>
      <c r="O4" s="6" t="s">
        <v>579</v>
      </c>
      <c r="P4" s="6" t="s">
        <v>579</v>
      </c>
      <c r="Q4" s="6" t="s">
        <v>579</v>
      </c>
      <c r="R4" s="6" t="s">
        <v>579</v>
      </c>
      <c r="S4" s="6" t="s">
        <v>579</v>
      </c>
      <c r="T4" s="6" t="s">
        <v>579</v>
      </c>
    </row>
    <row r="5" spans="1:20">
      <c r="C5" s="7" t="s">
        <v>267</v>
      </c>
    </row>
    <row r="6" spans="1:20">
      <c r="C6" t="s">
        <v>580</v>
      </c>
    </row>
    <row r="8" spans="1:20">
      <c r="C8" s="7" t="s">
        <v>269</v>
      </c>
    </row>
    <row r="9" spans="1:20">
      <c r="C9" s="7"/>
    </row>
    <row r="10" spans="1:20">
      <c r="C10" s="7"/>
    </row>
    <row r="11" spans="1:20">
      <c r="C11" s="7"/>
    </row>
    <row r="16" spans="1:20">
      <c r="C16" t="s">
        <v>581</v>
      </c>
    </row>
    <row r="18" spans="1:22" s="8" customFormat="1" ht="21">
      <c r="C18" s="9" t="s">
        <v>582</v>
      </c>
      <c r="P18" s="10"/>
    </row>
    <row r="19" spans="1:22" ht="21">
      <c r="C19" s="52"/>
      <c r="P19" s="53"/>
    </row>
    <row r="20" spans="1:22">
      <c r="C20" s="7" t="s">
        <v>272</v>
      </c>
      <c r="P20" s="53"/>
    </row>
    <row r="21" spans="1:22">
      <c r="C21" t="s">
        <v>583</v>
      </c>
      <c r="P21" s="53"/>
    </row>
    <row r="22" spans="1:22">
      <c r="C22" t="s">
        <v>584</v>
      </c>
      <c r="P22" s="53"/>
    </row>
    <row r="23" spans="1:22" ht="21">
      <c r="C23" s="52"/>
      <c r="P23" s="53"/>
    </row>
    <row r="24" spans="1:22">
      <c r="C24" s="7" t="s">
        <v>585</v>
      </c>
      <c r="P24" s="53"/>
    </row>
    <row r="25" spans="1:22">
      <c r="H25" s="156">
        <v>2011</v>
      </c>
      <c r="I25" s="157">
        <v>2012</v>
      </c>
      <c r="J25" s="157">
        <v>2013</v>
      </c>
      <c r="K25" s="157">
        <v>2014</v>
      </c>
      <c r="L25" s="157">
        <v>2015</v>
      </c>
      <c r="M25" s="157">
        <v>2016</v>
      </c>
      <c r="N25" s="45">
        <v>2017</v>
      </c>
      <c r="O25" s="45">
        <v>2018</v>
      </c>
      <c r="P25" s="45">
        <v>2019</v>
      </c>
      <c r="Q25" s="45">
        <v>2020</v>
      </c>
      <c r="R25" s="45">
        <v>2021</v>
      </c>
      <c r="S25" s="45">
        <v>2022</v>
      </c>
      <c r="T25" s="45">
        <v>2023</v>
      </c>
      <c r="U25" s="45">
        <v>2024</v>
      </c>
      <c r="V25" s="614">
        <v>2025</v>
      </c>
    </row>
    <row r="26" spans="1:22">
      <c r="A26" t="s">
        <v>586</v>
      </c>
      <c r="B26" s="613">
        <v>45810</v>
      </c>
      <c r="C26" s="36" t="s">
        <v>286</v>
      </c>
      <c r="D26" s="19"/>
      <c r="E26" s="19"/>
      <c r="F26" s="24"/>
      <c r="G26" s="2"/>
      <c r="H26" s="44"/>
      <c r="I26" s="45"/>
      <c r="J26" s="45"/>
      <c r="K26" s="45"/>
      <c r="L26" s="45"/>
      <c r="M26" s="45"/>
      <c r="N26" s="45"/>
      <c r="O26" s="45"/>
      <c r="P26" s="45"/>
      <c r="Q26" s="45"/>
      <c r="R26" s="45"/>
      <c r="S26" s="45"/>
      <c r="T26" s="45"/>
      <c r="U26" s="45"/>
      <c r="V26" s="614"/>
    </row>
    <row r="27" spans="1:22">
      <c r="C27" s="14" t="s">
        <v>587</v>
      </c>
      <c r="D27" s="2"/>
      <c r="E27" s="2" t="s">
        <v>588</v>
      </c>
      <c r="F27" s="26" t="s">
        <v>589</v>
      </c>
      <c r="G27" s="2"/>
      <c r="H27" s="47">
        <v>31.363308571180326</v>
      </c>
      <c r="I27" s="159">
        <v>67.44835908500707</v>
      </c>
      <c r="J27" s="159">
        <v>105.86454667883052</v>
      </c>
      <c r="K27" s="159">
        <v>127.74869069512624</v>
      </c>
      <c r="L27" s="159">
        <v>208.61298154664502</v>
      </c>
      <c r="M27" s="159">
        <v>264.27482610983196</v>
      </c>
      <c r="N27" s="159">
        <v>302.39367479039055</v>
      </c>
      <c r="O27" s="159">
        <v>377.29929382008095</v>
      </c>
      <c r="P27" s="159">
        <v>518.88019076028979</v>
      </c>
      <c r="Q27" s="159">
        <v>1340.5227565634186</v>
      </c>
      <c r="R27" s="159">
        <v>1969.8940874929406</v>
      </c>
      <c r="S27" s="159">
        <v>2466.2954564104048</v>
      </c>
      <c r="T27" s="159">
        <v>4277.3069347044857</v>
      </c>
      <c r="U27" s="159">
        <v>2624.71515287084</v>
      </c>
      <c r="V27" s="615">
        <v>2936.3222221761689</v>
      </c>
    </row>
    <row r="28" spans="1:22">
      <c r="C28" s="14" t="s">
        <v>590</v>
      </c>
      <c r="D28" s="2"/>
      <c r="E28" s="2" t="s">
        <v>232</v>
      </c>
      <c r="F28" s="26" t="s">
        <v>591</v>
      </c>
      <c r="G28" s="2"/>
      <c r="H28" s="47">
        <v>0.14149847766722121</v>
      </c>
      <c r="I28" s="159">
        <v>1.6853479393577955</v>
      </c>
      <c r="J28" s="159">
        <v>2.1578517844251235</v>
      </c>
      <c r="K28" s="159">
        <v>5.2000690542703794</v>
      </c>
      <c r="L28" s="159">
        <v>14.705734643271917</v>
      </c>
      <c r="M28" s="159">
        <v>19.284221099218431</v>
      </c>
      <c r="N28" s="159">
        <v>30.545983866411376</v>
      </c>
      <c r="O28" s="159">
        <v>37.277268589723469</v>
      </c>
      <c r="P28" s="159">
        <v>47.475266015882482</v>
      </c>
      <c r="Q28" s="159">
        <v>189.40834615022445</v>
      </c>
      <c r="R28" s="159">
        <v>356.88442826202959</v>
      </c>
      <c r="S28" s="159">
        <v>322</v>
      </c>
      <c r="T28" s="159">
        <v>384.99999999999994</v>
      </c>
      <c r="U28" s="159">
        <v>175</v>
      </c>
      <c r="V28" s="615">
        <v>103.87768478370474</v>
      </c>
    </row>
    <row r="29" spans="1:22">
      <c r="C29" s="14" t="s">
        <v>592</v>
      </c>
      <c r="D29" s="2"/>
      <c r="E29" s="2" t="s">
        <v>232</v>
      </c>
      <c r="F29" s="26" t="s">
        <v>593</v>
      </c>
      <c r="G29" s="2"/>
      <c r="H29" s="376">
        <v>0</v>
      </c>
      <c r="I29" s="375">
        <v>0</v>
      </c>
      <c r="J29" s="375">
        <v>0</v>
      </c>
      <c r="K29" s="375">
        <v>0</v>
      </c>
      <c r="L29" s="375">
        <v>0</v>
      </c>
      <c r="M29" s="375">
        <v>0</v>
      </c>
      <c r="N29" s="375">
        <v>0</v>
      </c>
      <c r="O29" s="375">
        <v>0</v>
      </c>
      <c r="P29" s="375">
        <v>0</v>
      </c>
      <c r="Q29" s="375">
        <v>0</v>
      </c>
      <c r="R29" s="375">
        <v>0</v>
      </c>
      <c r="S29" s="375">
        <v>0</v>
      </c>
      <c r="T29" s="375">
        <v>0</v>
      </c>
      <c r="U29" s="375">
        <v>0</v>
      </c>
      <c r="V29" s="615">
        <v>0</v>
      </c>
    </row>
    <row r="30" spans="1:22">
      <c r="C30" s="14" t="s">
        <v>436</v>
      </c>
      <c r="D30" s="2"/>
      <c r="E30" s="2" t="s">
        <v>232</v>
      </c>
      <c r="F30" s="26" t="s">
        <v>593</v>
      </c>
      <c r="G30" s="2"/>
      <c r="H30" s="47">
        <v>7281.6647797435371</v>
      </c>
      <c r="I30" s="159">
        <v>6843.5176402333182</v>
      </c>
      <c r="J30" s="159">
        <v>6294.828711918316</v>
      </c>
      <c r="K30" s="159">
        <v>6254.0614343363422</v>
      </c>
      <c r="L30" s="159">
        <v>6466.7467726249261</v>
      </c>
      <c r="M30" s="159">
        <v>6698.8810482111821</v>
      </c>
      <c r="N30" s="159">
        <v>6707.8267552850139</v>
      </c>
      <c r="O30" s="159">
        <v>5800.132046754502</v>
      </c>
      <c r="P30" s="159">
        <v>5167.6492795774684</v>
      </c>
      <c r="Q30" s="159">
        <v>3378.1502351424651</v>
      </c>
      <c r="R30" s="159">
        <v>2650.4216590910028</v>
      </c>
      <c r="S30" s="159">
        <v>1882.941373049387</v>
      </c>
      <c r="T30" s="159">
        <v>1428.7282991584002</v>
      </c>
      <c r="U30" s="159">
        <v>1203.8884676522016</v>
      </c>
      <c r="V30" s="615">
        <v>1225.9228298363321</v>
      </c>
    </row>
    <row r="31" spans="1:22">
      <c r="C31" s="14" t="s">
        <v>437</v>
      </c>
      <c r="D31" s="2"/>
      <c r="E31" s="2" t="s">
        <v>232</v>
      </c>
      <c r="F31" s="26" t="s">
        <v>593</v>
      </c>
      <c r="G31" s="2"/>
      <c r="H31" s="47">
        <v>1063.4953059812237</v>
      </c>
      <c r="I31" s="159">
        <v>881.99184045594961</v>
      </c>
      <c r="J31" s="159">
        <v>1007.54807061221</v>
      </c>
      <c r="K31" s="159">
        <v>1273.1781400074995</v>
      </c>
      <c r="L31" s="159">
        <v>1721.3242368223976</v>
      </c>
      <c r="M31" s="159">
        <v>2294.9193607032853</v>
      </c>
      <c r="N31" s="159">
        <v>2721.6281457022928</v>
      </c>
      <c r="O31" s="159">
        <v>3403.6443420288374</v>
      </c>
      <c r="P31" s="159">
        <v>4457.587458814337</v>
      </c>
      <c r="Q31" s="159">
        <v>2198.7865818163782</v>
      </c>
      <c r="R31" s="159">
        <v>2736.3202775318669</v>
      </c>
      <c r="S31" s="159">
        <v>2433.410137992088</v>
      </c>
      <c r="T31" s="159">
        <v>2580.3918581189682</v>
      </c>
      <c r="U31" s="159">
        <v>2010.4291367238357</v>
      </c>
      <c r="V31" s="615">
        <v>2047.2253391415659</v>
      </c>
    </row>
    <row r="32" spans="1:22">
      <c r="C32" s="20" t="s">
        <v>594</v>
      </c>
      <c r="D32" s="21"/>
      <c r="E32" s="21" t="s">
        <v>232</v>
      </c>
      <c r="F32" s="27" t="s">
        <v>593</v>
      </c>
      <c r="G32" s="2"/>
      <c r="H32" s="171">
        <v>7.2622221855357925</v>
      </c>
      <c r="I32" s="172">
        <v>19.675847227495908</v>
      </c>
      <c r="J32" s="172">
        <v>33.038006994307153</v>
      </c>
      <c r="K32" s="172">
        <v>30.575447166197556</v>
      </c>
      <c r="L32" s="172">
        <v>48.329151113913149</v>
      </c>
      <c r="M32" s="172">
        <v>40.336380183407023</v>
      </c>
      <c r="N32" s="172">
        <v>52.688502922582543</v>
      </c>
      <c r="O32" s="172">
        <v>73.93974247406166</v>
      </c>
      <c r="P32" s="172">
        <v>108.47173535093592</v>
      </c>
      <c r="Q32" s="172">
        <v>147.79427604200893</v>
      </c>
      <c r="R32" s="172">
        <v>332.41364245643649</v>
      </c>
      <c r="S32" s="172">
        <v>376.3173310827583</v>
      </c>
      <c r="T32" s="172">
        <v>468.01314168563482</v>
      </c>
      <c r="U32" s="172">
        <v>930.73863854074864</v>
      </c>
      <c r="V32" s="616">
        <v>947.77363207330234</v>
      </c>
    </row>
    <row r="33" spans="3:22">
      <c r="C33" s="100" t="s">
        <v>595</v>
      </c>
    </row>
    <row r="34" spans="3:22">
      <c r="C34" s="199" t="s">
        <v>596</v>
      </c>
      <c r="D34" s="70"/>
      <c r="E34" s="70"/>
      <c r="F34" s="29"/>
      <c r="H34" s="644">
        <f>SUM(H29:H32)</f>
        <v>8352.4223079102976</v>
      </c>
      <c r="I34" s="645">
        <f t="shared" ref="I34:V34" si="0">SUM(I29:I32)</f>
        <v>7745.1853279167635</v>
      </c>
      <c r="J34" s="645">
        <f t="shared" si="0"/>
        <v>7335.4147895248334</v>
      </c>
      <c r="K34" s="645">
        <f t="shared" si="0"/>
        <v>7557.8150215100395</v>
      </c>
      <c r="L34" s="645">
        <f t="shared" si="0"/>
        <v>8236.4001605612357</v>
      </c>
      <c r="M34" s="645">
        <f t="shared" si="0"/>
        <v>9034.1367890978745</v>
      </c>
      <c r="N34" s="645">
        <f t="shared" si="0"/>
        <v>9482.1434039098895</v>
      </c>
      <c r="O34" s="645">
        <f t="shared" si="0"/>
        <v>9277.7161312574008</v>
      </c>
      <c r="P34" s="645">
        <f t="shared" si="0"/>
        <v>9733.7084737427431</v>
      </c>
      <c r="Q34" s="645">
        <f t="shared" si="0"/>
        <v>5724.7310930008525</v>
      </c>
      <c r="R34" s="645">
        <f t="shared" si="0"/>
        <v>5719.1555790793063</v>
      </c>
      <c r="S34" s="645">
        <f t="shared" si="0"/>
        <v>4692.6688421242343</v>
      </c>
      <c r="T34" s="645">
        <f t="shared" si="0"/>
        <v>4477.1332989630037</v>
      </c>
      <c r="U34" s="645">
        <f t="shared" si="0"/>
        <v>4145.0562429167858</v>
      </c>
      <c r="V34" s="646">
        <f t="shared" si="0"/>
        <v>4220.9218010512004</v>
      </c>
    </row>
    <row r="35" spans="3:22">
      <c r="C35" s="20" t="s">
        <v>597</v>
      </c>
      <c r="D35" s="92"/>
      <c r="E35" s="92"/>
      <c r="F35" s="33"/>
      <c r="H35" s="619">
        <f>SUM(H26:H32)</f>
        <v>8383.9271149591441</v>
      </c>
      <c r="I35" s="182">
        <f t="shared" ref="I35:V35" si="1">SUM(I26:I32)</f>
        <v>7814.3190349411279</v>
      </c>
      <c r="J35" s="182">
        <f t="shared" si="1"/>
        <v>7443.4371879880891</v>
      </c>
      <c r="K35" s="182">
        <f t="shared" si="1"/>
        <v>7690.7637812594357</v>
      </c>
      <c r="L35" s="182">
        <f t="shared" si="1"/>
        <v>8459.7188767511525</v>
      </c>
      <c r="M35" s="182">
        <f t="shared" si="1"/>
        <v>9317.6958363069261</v>
      </c>
      <c r="N35" s="182">
        <f t="shared" si="1"/>
        <v>9815.0830625666913</v>
      </c>
      <c r="O35" s="182">
        <f t="shared" si="1"/>
        <v>9692.2926936672065</v>
      </c>
      <c r="P35" s="182">
        <f t="shared" si="1"/>
        <v>10300.063930518914</v>
      </c>
      <c r="Q35" s="182">
        <f t="shared" si="1"/>
        <v>7254.6621957144953</v>
      </c>
      <c r="R35" s="182">
        <f t="shared" si="1"/>
        <v>8045.9340948342769</v>
      </c>
      <c r="S35" s="182">
        <f t="shared" si="1"/>
        <v>7480.9642985346381</v>
      </c>
      <c r="T35" s="182">
        <f t="shared" si="1"/>
        <v>9139.4402336674884</v>
      </c>
      <c r="U35" s="182">
        <f t="shared" si="1"/>
        <v>6944.7713957876267</v>
      </c>
      <c r="V35" s="183">
        <f t="shared" si="1"/>
        <v>7261.1217080110737</v>
      </c>
    </row>
    <row r="37" spans="3:22">
      <c r="C37" s="15" t="s">
        <v>598</v>
      </c>
    </row>
    <row r="38" spans="3:22">
      <c r="C38" s="199" t="s">
        <v>1265</v>
      </c>
      <c r="D38" s="70"/>
      <c r="E38" s="70" t="s">
        <v>313</v>
      </c>
      <c r="F38" s="29"/>
      <c r="H38" s="663">
        <f>-(N35-V35)/N35</f>
        <v>-0.26020781874949761</v>
      </c>
    </row>
    <row r="39" spans="3:22">
      <c r="C39" s="14" t="s">
        <v>1264</v>
      </c>
      <c r="E39" t="s">
        <v>313</v>
      </c>
      <c r="F39" s="31"/>
      <c r="H39" s="197">
        <f>-(H35-V35)/H35</f>
        <v>-0.13392356488222429</v>
      </c>
    </row>
    <row r="40" spans="3:22">
      <c r="C40" s="14" t="s">
        <v>601</v>
      </c>
      <c r="E40" t="s">
        <v>602</v>
      </c>
      <c r="F40" s="31"/>
      <c r="H40" s="195">
        <f>AVERAGE(Q35:V35)</f>
        <v>7687.8156544249332</v>
      </c>
    </row>
    <row r="41" spans="3:22">
      <c r="C41" s="20" t="s">
        <v>603</v>
      </c>
      <c r="D41" s="92"/>
      <c r="E41" s="92" t="s">
        <v>602</v>
      </c>
      <c r="F41" s="33"/>
      <c r="H41" s="639">
        <f>AVERAGE(K35:Q35)</f>
        <v>8932.897196683547</v>
      </c>
    </row>
    <row r="43" spans="3:22">
      <c r="C43" s="15" t="s">
        <v>604</v>
      </c>
    </row>
    <row r="44" spans="3:22">
      <c r="C44" s="199" t="s">
        <v>1265</v>
      </c>
      <c r="D44" s="70"/>
      <c r="E44" s="70" t="s">
        <v>313</v>
      </c>
      <c r="F44" s="29"/>
      <c r="H44" s="663">
        <f>-(1-(N34-V34)/N34)</f>
        <v>-0.44514426973449228</v>
      </c>
    </row>
    <row r="45" spans="3:22">
      <c r="C45" s="14" t="s">
        <v>1264</v>
      </c>
      <c r="E45" t="s">
        <v>313</v>
      </c>
      <c r="F45" s="31"/>
      <c r="H45" s="197">
        <f>-(1-(H34-V34)/H34)</f>
        <v>-0.50535301562203183</v>
      </c>
    </row>
    <row r="46" spans="3:22">
      <c r="C46" s="14" t="s">
        <v>601</v>
      </c>
      <c r="E46" t="s">
        <v>602</v>
      </c>
      <c r="F46" s="31"/>
      <c r="H46" s="195">
        <f>AVERAGE(Q34:V34)</f>
        <v>4829.944476189231</v>
      </c>
    </row>
    <row r="47" spans="3:22">
      <c r="C47" s="20" t="s">
        <v>603</v>
      </c>
      <c r="D47" s="92"/>
      <c r="E47" s="92" t="s">
        <v>602</v>
      </c>
      <c r="F47" s="33"/>
      <c r="H47" s="639">
        <f>AVERAGE(K34:Q34)</f>
        <v>8435.2358675828618</v>
      </c>
    </row>
    <row r="48" spans="3:22">
      <c r="C48" s="100"/>
    </row>
    <row r="49" spans="1:22">
      <c r="H49" s="156">
        <v>2011</v>
      </c>
      <c r="I49" s="157">
        <v>2012</v>
      </c>
      <c r="J49" s="157">
        <v>2013</v>
      </c>
      <c r="K49" s="157">
        <v>2014</v>
      </c>
      <c r="L49" s="157">
        <v>2015</v>
      </c>
      <c r="M49" s="157">
        <v>2016</v>
      </c>
      <c r="N49" s="45">
        <v>2017</v>
      </c>
      <c r="O49" s="45">
        <v>2018</v>
      </c>
      <c r="P49" s="45">
        <v>2019</v>
      </c>
      <c r="Q49" s="45">
        <v>2020</v>
      </c>
      <c r="R49" s="45">
        <v>2021</v>
      </c>
      <c r="S49" s="45">
        <v>2022</v>
      </c>
      <c r="T49" s="45">
        <v>2023</v>
      </c>
      <c r="U49" s="45">
        <v>2024</v>
      </c>
      <c r="V49" s="614">
        <v>2025</v>
      </c>
    </row>
    <row r="50" spans="1:22">
      <c r="A50" t="s">
        <v>586</v>
      </c>
      <c r="B50" s="613">
        <v>45810</v>
      </c>
      <c r="C50" s="36" t="s">
        <v>286</v>
      </c>
      <c r="D50" s="19"/>
      <c r="E50" s="19"/>
      <c r="F50" s="24"/>
      <c r="G50" s="2"/>
      <c r="H50" s="44"/>
      <c r="I50" s="45"/>
      <c r="J50" s="45"/>
      <c r="K50" s="45"/>
      <c r="L50" s="45"/>
      <c r="M50" s="45"/>
      <c r="N50" s="45"/>
      <c r="O50" s="45"/>
      <c r="P50" s="45"/>
      <c r="Q50" s="45"/>
      <c r="R50" s="45"/>
      <c r="S50" s="45"/>
      <c r="T50" s="45"/>
      <c r="U50" s="45"/>
      <c r="V50" s="614"/>
    </row>
    <row r="51" spans="1:22">
      <c r="C51" s="14" t="s">
        <v>589</v>
      </c>
      <c r="D51" s="2"/>
      <c r="E51" s="2" t="s">
        <v>294</v>
      </c>
      <c r="F51" s="26"/>
      <c r="G51" s="2"/>
      <c r="H51" s="47">
        <v>0.81500068511166379</v>
      </c>
      <c r="I51" s="159">
        <v>1.7206997589866773</v>
      </c>
      <c r="J51" s="159">
        <v>2.2361015098964927</v>
      </c>
      <c r="K51" s="159">
        <v>2.8178492628562877</v>
      </c>
      <c r="L51" s="159">
        <v>4.9951768176245857</v>
      </c>
      <c r="M51" s="159">
        <v>6.7416980357028162</v>
      </c>
      <c r="N51" s="159">
        <v>7.7837921580676985</v>
      </c>
      <c r="O51" s="159">
        <v>10.707141904965418</v>
      </c>
      <c r="P51" s="159">
        <v>19.064445419411307</v>
      </c>
      <c r="Q51" s="159">
        <v>44.291739124622168</v>
      </c>
      <c r="R51" s="159">
        <v>66.442954796147944</v>
      </c>
      <c r="S51" s="159">
        <v>83.628586661205205</v>
      </c>
      <c r="T51" s="159">
        <v>153.96682930599582</v>
      </c>
      <c r="U51" s="159">
        <v>96.119893224359004</v>
      </c>
      <c r="V51" s="615">
        <v>101.89438673840966</v>
      </c>
    </row>
    <row r="52" spans="1:22">
      <c r="C52" s="14" t="s">
        <v>591</v>
      </c>
      <c r="D52" s="2"/>
      <c r="E52" s="2" t="s">
        <v>232</v>
      </c>
      <c r="F52" s="26"/>
      <c r="G52" s="2"/>
      <c r="H52" s="47">
        <v>5.2354436736871844E-3</v>
      </c>
      <c r="I52" s="159">
        <v>6.2357873756238434E-2</v>
      </c>
      <c r="J52" s="159">
        <v>7.984051602372956E-2</v>
      </c>
      <c r="K52" s="159">
        <v>0.28028372202517349</v>
      </c>
      <c r="L52" s="159">
        <v>0.66155827890204055</v>
      </c>
      <c r="M52" s="159">
        <v>0.97007294424790247</v>
      </c>
      <c r="N52" s="159">
        <v>1.5996350373086961</v>
      </c>
      <c r="O52" s="159">
        <v>1.8866196511693787</v>
      </c>
      <c r="P52" s="159">
        <v>2.2216831859361874</v>
      </c>
      <c r="Q52" s="159">
        <v>8.8388322277793989</v>
      </c>
      <c r="R52" s="159">
        <v>15.51071564161022</v>
      </c>
      <c r="S52" s="159">
        <v>15.801099246411692</v>
      </c>
      <c r="T52" s="159">
        <v>16.86361676606149</v>
      </c>
      <c r="U52" s="159">
        <v>10.603171472396761</v>
      </c>
      <c r="V52" s="615">
        <v>6.4335116559481555</v>
      </c>
    </row>
    <row r="53" spans="1:22">
      <c r="C53" s="14" t="s">
        <v>605</v>
      </c>
      <c r="D53" s="2"/>
      <c r="E53" s="2" t="s">
        <v>232</v>
      </c>
      <c r="F53" s="26"/>
      <c r="G53" s="2"/>
      <c r="H53" s="47">
        <v>0</v>
      </c>
      <c r="I53" s="159">
        <v>0</v>
      </c>
      <c r="J53" s="159">
        <v>0</v>
      </c>
      <c r="K53" s="159">
        <v>0</v>
      </c>
      <c r="L53" s="159">
        <v>0</v>
      </c>
      <c r="M53" s="159">
        <v>0</v>
      </c>
      <c r="N53" s="159">
        <v>0</v>
      </c>
      <c r="O53" s="159">
        <v>0</v>
      </c>
      <c r="P53" s="159">
        <v>0</v>
      </c>
      <c r="Q53" s="159">
        <v>0</v>
      </c>
      <c r="R53" s="159">
        <v>0</v>
      </c>
      <c r="S53" s="159">
        <v>0</v>
      </c>
      <c r="T53" s="159">
        <v>0</v>
      </c>
      <c r="U53" s="159">
        <v>0</v>
      </c>
      <c r="V53" s="615">
        <v>0</v>
      </c>
    </row>
    <row r="54" spans="1:22">
      <c r="A54" s="818" t="s">
        <v>572</v>
      </c>
      <c r="C54" s="14" t="s">
        <v>593</v>
      </c>
      <c r="D54" s="2"/>
      <c r="E54" s="2" t="s">
        <v>232</v>
      </c>
      <c r="F54" s="26"/>
      <c r="G54" s="2"/>
      <c r="H54" s="47">
        <v>187.48980783441112</v>
      </c>
      <c r="I54" s="159">
        <v>185.28098764313265</v>
      </c>
      <c r="J54" s="159">
        <v>181.43131163013254</v>
      </c>
      <c r="K54" s="159">
        <v>190.04010150669967</v>
      </c>
      <c r="L54" s="159">
        <v>214.97074076776076</v>
      </c>
      <c r="M54" s="159">
        <v>245.0111891718212</v>
      </c>
      <c r="N54" s="159">
        <v>268.69410011674472</v>
      </c>
      <c r="O54" s="159">
        <v>258.58625995041234</v>
      </c>
      <c r="P54" s="159">
        <v>264.7505467641987</v>
      </c>
      <c r="Q54" s="159">
        <v>158.97019121650223</v>
      </c>
      <c r="R54" s="159">
        <v>156.86238979582416</v>
      </c>
      <c r="S54" s="159">
        <v>135.31485584779668</v>
      </c>
      <c r="T54" s="159">
        <v>131.26473492305095</v>
      </c>
      <c r="U54" s="159">
        <v>121.45915802243005</v>
      </c>
      <c r="V54" s="615">
        <v>124.94989953064142</v>
      </c>
    </row>
    <row r="55" spans="1:22">
      <c r="C55" s="20" t="s">
        <v>606</v>
      </c>
      <c r="D55" s="21"/>
      <c r="E55" s="21" t="s">
        <v>232</v>
      </c>
      <c r="F55" s="27"/>
      <c r="G55" s="2"/>
      <c r="H55" s="171">
        <v>0</v>
      </c>
      <c r="I55" s="172">
        <v>0</v>
      </c>
      <c r="J55" s="172">
        <v>0</v>
      </c>
      <c r="K55" s="172">
        <v>0</v>
      </c>
      <c r="L55" s="172">
        <v>0</v>
      </c>
      <c r="M55" s="172">
        <v>0</v>
      </c>
      <c r="N55" s="172">
        <v>0</v>
      </c>
      <c r="O55" s="172">
        <v>0</v>
      </c>
      <c r="P55" s="172">
        <v>0</v>
      </c>
      <c r="Q55" s="172">
        <v>0</v>
      </c>
      <c r="R55" s="172">
        <v>0</v>
      </c>
      <c r="S55" s="172">
        <v>0</v>
      </c>
      <c r="T55" s="172">
        <v>0</v>
      </c>
      <c r="U55" s="172">
        <v>0</v>
      </c>
      <c r="V55" s="616">
        <v>0</v>
      </c>
    </row>
    <row r="56" spans="1:22">
      <c r="C56" s="299" t="s">
        <v>241</v>
      </c>
      <c r="D56" s="17"/>
      <c r="E56" s="17"/>
      <c r="F56" s="23"/>
      <c r="G56" s="2"/>
      <c r="H56" s="658">
        <f>SUM(H50:H55)</f>
        <v>188.31004396319648</v>
      </c>
      <c r="I56" s="659">
        <f t="shared" ref="I56:V56" si="2">SUM(I50:I55)</f>
        <v>187.06404527587557</v>
      </c>
      <c r="J56" s="659">
        <f t="shared" si="2"/>
        <v>183.74725365605275</v>
      </c>
      <c r="K56" s="659">
        <f t="shared" si="2"/>
        <v>193.13823449158113</v>
      </c>
      <c r="L56" s="659">
        <f t="shared" si="2"/>
        <v>220.62747586428739</v>
      </c>
      <c r="M56" s="659">
        <f t="shared" si="2"/>
        <v>252.72296015177193</v>
      </c>
      <c r="N56" s="659">
        <f t="shared" si="2"/>
        <v>278.07752731212111</v>
      </c>
      <c r="O56" s="659">
        <f t="shared" si="2"/>
        <v>271.18002150654712</v>
      </c>
      <c r="P56" s="659">
        <f t="shared" si="2"/>
        <v>286.03667536954617</v>
      </c>
      <c r="Q56" s="659">
        <f t="shared" si="2"/>
        <v>212.1007625689038</v>
      </c>
      <c r="R56" s="659">
        <f t="shared" si="2"/>
        <v>238.81606023358233</v>
      </c>
      <c r="S56" s="659">
        <f t="shared" si="2"/>
        <v>234.74454175541359</v>
      </c>
      <c r="T56" s="659">
        <f t="shared" si="2"/>
        <v>302.09518099510825</v>
      </c>
      <c r="U56" s="659">
        <f t="shared" si="2"/>
        <v>228.1822227191858</v>
      </c>
      <c r="V56" s="660">
        <f t="shared" si="2"/>
        <v>233.27779792499922</v>
      </c>
    </row>
    <row r="58" spans="1:22">
      <c r="A58" t="s">
        <v>607</v>
      </c>
      <c r="B58" s="613">
        <v>45810</v>
      </c>
      <c r="C58" s="35" t="s">
        <v>608</v>
      </c>
      <c r="H58" s="58"/>
      <c r="N58" s="80"/>
    </row>
    <row r="59" spans="1:22">
      <c r="C59" s="16"/>
      <c r="D59" s="17"/>
      <c r="E59" s="17" t="s">
        <v>281</v>
      </c>
      <c r="F59" s="23" t="s">
        <v>282</v>
      </c>
      <c r="G59" s="2"/>
      <c r="H59" s="154">
        <v>2011</v>
      </c>
      <c r="I59" s="155">
        <v>2012</v>
      </c>
      <c r="J59" s="155">
        <v>2013</v>
      </c>
      <c r="K59" s="155">
        <v>2014</v>
      </c>
      <c r="L59" s="155">
        <v>2015</v>
      </c>
      <c r="M59" s="155">
        <v>2016</v>
      </c>
      <c r="N59" s="12">
        <v>2017</v>
      </c>
      <c r="O59" s="12">
        <v>2018</v>
      </c>
      <c r="P59" s="12">
        <v>2019</v>
      </c>
      <c r="Q59" s="12">
        <v>2020</v>
      </c>
      <c r="R59" s="12">
        <v>2021</v>
      </c>
      <c r="S59" s="12">
        <v>2022</v>
      </c>
      <c r="T59" s="12">
        <v>2023</v>
      </c>
      <c r="U59" s="12">
        <v>2024</v>
      </c>
      <c r="V59" s="612">
        <v>2025</v>
      </c>
    </row>
    <row r="60" spans="1:22">
      <c r="C60" s="199" t="s">
        <v>587</v>
      </c>
      <c r="D60" s="19"/>
      <c r="E60" s="19" t="s">
        <v>609</v>
      </c>
      <c r="F60" s="24" t="s">
        <v>589</v>
      </c>
      <c r="G60" s="2"/>
      <c r="H60" s="174">
        <v>35.682366304497073</v>
      </c>
      <c r="I60" s="68">
        <v>29.940572660620649</v>
      </c>
      <c r="J60" s="68">
        <v>30.47491800544125</v>
      </c>
      <c r="K60" s="68">
        <v>30.197282593452574</v>
      </c>
      <c r="L60" s="68">
        <v>29.592352427444848</v>
      </c>
      <c r="M60" s="68">
        <v>30.996284791189151</v>
      </c>
      <c r="N60" s="68">
        <v>30.383786258220873</v>
      </c>
      <c r="O60" s="68">
        <v>35.864014896421146</v>
      </c>
      <c r="P60" s="68">
        <v>42.111615523075521</v>
      </c>
      <c r="Q60" s="68">
        <v>36.812125544930247</v>
      </c>
      <c r="R60" s="68">
        <v>33.710669849040698</v>
      </c>
      <c r="S60" s="68">
        <v>33.888290377942276</v>
      </c>
      <c r="T60" s="68">
        <v>35.97341684090906</v>
      </c>
      <c r="U60" s="68">
        <v>36.580042525757705</v>
      </c>
      <c r="V60" s="617">
        <v>34.662481657170282</v>
      </c>
    </row>
    <row r="61" spans="1:22">
      <c r="C61" s="14" t="s">
        <v>590</v>
      </c>
      <c r="D61" s="2"/>
      <c r="E61" s="2" t="s">
        <v>232</v>
      </c>
      <c r="F61" s="26" t="s">
        <v>591</v>
      </c>
      <c r="G61" s="2"/>
      <c r="H61" s="47">
        <v>37</v>
      </c>
      <c r="I61" s="159">
        <v>37</v>
      </c>
      <c r="J61" s="159">
        <v>37</v>
      </c>
      <c r="K61" s="159">
        <v>53.900000000000006</v>
      </c>
      <c r="L61" s="159">
        <v>44.986414820473648</v>
      </c>
      <c r="M61" s="159">
        <v>50.303973349860549</v>
      </c>
      <c r="N61" s="159">
        <v>52.368096712958341</v>
      </c>
      <c r="O61" s="159">
        <v>50.610458398485733</v>
      </c>
      <c r="P61" s="159">
        <v>46.796645335129675</v>
      </c>
      <c r="Q61" s="159">
        <v>46.665484427856747</v>
      </c>
      <c r="R61" s="159">
        <v>43.461452541218847</v>
      </c>
      <c r="S61" s="159">
        <v>49.07173679009842</v>
      </c>
      <c r="T61" s="159">
        <v>43.801601989770113</v>
      </c>
      <c r="U61" s="159">
        <v>60.589551270838641</v>
      </c>
      <c r="V61" s="615">
        <v>61.933529509673662</v>
      </c>
    </row>
    <row r="62" spans="1:22">
      <c r="C62" s="14" t="s">
        <v>592</v>
      </c>
      <c r="D62" s="2"/>
      <c r="E62" s="2" t="s">
        <v>232</v>
      </c>
      <c r="F62" s="26" t="s">
        <v>593</v>
      </c>
      <c r="G62" s="2"/>
      <c r="H62" s="47">
        <v>25.792210967155043</v>
      </c>
      <c r="I62" s="159">
        <v>25.792210967155043</v>
      </c>
      <c r="J62" s="159">
        <v>25.792210967155043</v>
      </c>
      <c r="K62" s="159">
        <v>25.792210967155043</v>
      </c>
      <c r="L62" s="159">
        <v>25.792210967155043</v>
      </c>
      <c r="M62" s="159">
        <v>25.792210967155043</v>
      </c>
      <c r="N62" s="159">
        <v>25.792210967155043</v>
      </c>
      <c r="O62" s="159">
        <v>25.532628856186701</v>
      </c>
      <c r="P62" s="159">
        <v>26.492613206357216</v>
      </c>
      <c r="Q62" s="159">
        <v>28.681317527583701</v>
      </c>
      <c r="R62" s="159">
        <v>27.671624909589685</v>
      </c>
      <c r="S62" s="159">
        <v>25.906118092847016</v>
      </c>
      <c r="T62" s="159">
        <v>26.06295864425692</v>
      </c>
      <c r="U62" s="159">
        <v>25.997816966189067</v>
      </c>
      <c r="V62" s="615">
        <v>24.333622078526115</v>
      </c>
    </row>
    <row r="63" spans="1:22">
      <c r="C63" s="14" t="s">
        <v>436</v>
      </c>
      <c r="D63" s="2"/>
      <c r="E63" s="2" t="s">
        <v>232</v>
      </c>
      <c r="F63" s="26" t="s">
        <v>593</v>
      </c>
      <c r="G63" s="2"/>
      <c r="H63" s="47">
        <v>23.258752449304325</v>
      </c>
      <c r="I63" s="159">
        <v>24.691766563196122</v>
      </c>
      <c r="J63" s="159">
        <v>25.703112156218605</v>
      </c>
      <c r="K63" s="159">
        <v>26.367459695609053</v>
      </c>
      <c r="L63" s="159">
        <v>27.625010287969356</v>
      </c>
      <c r="M63" s="159">
        <v>29.03551745543167</v>
      </c>
      <c r="N63" s="159">
        <v>30.653566734641377</v>
      </c>
      <c r="O63" s="159">
        <v>31.055804645640933</v>
      </c>
      <c r="P63" s="159">
        <v>30.609038064509768</v>
      </c>
      <c r="Q63" s="159">
        <v>30.162271483378603</v>
      </c>
      <c r="R63" s="159">
        <v>30.569123589330331</v>
      </c>
      <c r="S63" s="159">
        <v>32.856213642073271</v>
      </c>
      <c r="T63" s="159">
        <v>34.169764727003141</v>
      </c>
      <c r="U63" s="159">
        <v>34.666705513558469</v>
      </c>
      <c r="V63" s="615">
        <v>35.662510253673965</v>
      </c>
    </row>
    <row r="64" spans="1:22">
      <c r="C64" s="14" t="s">
        <v>437</v>
      </c>
      <c r="D64" s="2"/>
      <c r="E64" s="2" t="s">
        <v>232</v>
      </c>
      <c r="F64" s="26" t="s">
        <v>593</v>
      </c>
      <c r="G64" s="2"/>
      <c r="H64" s="47">
        <v>16.868960714674856</v>
      </c>
      <c r="I64" s="159">
        <v>17.908288118133179</v>
      </c>
      <c r="J64" s="159">
        <v>18.641790446550893</v>
      </c>
      <c r="K64" s="159">
        <v>19.123624223633101</v>
      </c>
      <c r="L64" s="159">
        <v>20.379820508232637</v>
      </c>
      <c r="M64" s="159">
        <v>21.554285516212836</v>
      </c>
      <c r="N64" s="159">
        <v>22.676254338321606</v>
      </c>
      <c r="O64" s="159">
        <v>22.496656081148814</v>
      </c>
      <c r="P64" s="159">
        <v>23.263721573885565</v>
      </c>
      <c r="Q64" s="159">
        <v>24.030787066622317</v>
      </c>
      <c r="R64" s="159">
        <v>24.35493295633492</v>
      </c>
      <c r="S64" s="159">
        <v>26.177095922076493</v>
      </c>
      <c r="T64" s="159">
        <v>27.223624080291472</v>
      </c>
      <c r="U64" s="159">
        <v>27.619545131297585</v>
      </c>
      <c r="V64" s="615">
        <v>28.412919452685674</v>
      </c>
    </row>
    <row r="65" spans="1:22">
      <c r="C65" s="14" t="s">
        <v>594</v>
      </c>
      <c r="D65" s="2"/>
      <c r="E65" s="2" t="s">
        <v>232</v>
      </c>
      <c r="F65" s="26" t="s">
        <v>593</v>
      </c>
      <c r="G65" s="2"/>
      <c r="H65" s="47">
        <v>25.792210967155043</v>
      </c>
      <c r="I65" s="159">
        <v>25.792210967155043</v>
      </c>
      <c r="J65" s="159">
        <v>25.792210967155043</v>
      </c>
      <c r="K65" s="159">
        <v>25.792210967155043</v>
      </c>
      <c r="L65" s="159">
        <v>25.792210967155043</v>
      </c>
      <c r="M65" s="159">
        <v>25.792210967155043</v>
      </c>
      <c r="N65" s="159">
        <v>25.792210967155043</v>
      </c>
      <c r="O65" s="159">
        <v>25.532628856186701</v>
      </c>
      <c r="P65" s="159">
        <v>26.492613206357216</v>
      </c>
      <c r="Q65" s="159">
        <v>28.681317527583701</v>
      </c>
      <c r="R65" s="159">
        <v>27.671624909589685</v>
      </c>
      <c r="S65" s="159">
        <v>25.906118092847016</v>
      </c>
      <c r="T65" s="159">
        <v>26.06295864425692</v>
      </c>
      <c r="U65" s="159">
        <v>25.997816966189067</v>
      </c>
      <c r="V65" s="615">
        <v>24.333622078526115</v>
      </c>
    </row>
    <row r="66" spans="1:22">
      <c r="C66" s="20" t="s">
        <v>610</v>
      </c>
      <c r="D66" s="21"/>
      <c r="E66" s="21" t="s">
        <v>232</v>
      </c>
      <c r="F66" s="27" t="s">
        <v>606</v>
      </c>
      <c r="G66" s="2"/>
      <c r="H66" s="171"/>
      <c r="I66" s="172"/>
      <c r="J66" s="172"/>
      <c r="K66" s="172"/>
      <c r="L66" s="172"/>
      <c r="M66" s="172"/>
      <c r="N66" s="172"/>
      <c r="O66" s="172"/>
      <c r="P66" s="172"/>
      <c r="Q66" s="172"/>
      <c r="R66" s="172"/>
      <c r="S66" s="172"/>
      <c r="T66" s="172"/>
      <c r="U66" s="172"/>
      <c r="V66" s="616"/>
    </row>
    <row r="67" spans="1:22">
      <c r="C67" s="37"/>
      <c r="D67" s="2"/>
      <c r="E67" s="25"/>
      <c r="F67" s="2"/>
      <c r="G67" s="2"/>
      <c r="H67" s="177"/>
      <c r="I67" s="177"/>
      <c r="J67" s="177"/>
      <c r="K67" s="177"/>
      <c r="L67" s="177"/>
      <c r="M67" s="177"/>
      <c r="N67" s="177"/>
      <c r="O67" s="177"/>
      <c r="P67" s="177"/>
      <c r="Q67" s="177"/>
      <c r="R67" s="177"/>
      <c r="S67" s="177"/>
      <c r="T67" s="177"/>
    </row>
    <row r="68" spans="1:22" s="8" customFormat="1" ht="21">
      <c r="C68" s="9" t="s">
        <v>611</v>
      </c>
      <c r="P68" s="10"/>
    </row>
    <row r="70" spans="1:22">
      <c r="A70" t="s">
        <v>612</v>
      </c>
      <c r="B70" s="102">
        <v>46042</v>
      </c>
      <c r="C70" s="35" t="s">
        <v>613</v>
      </c>
      <c r="F70" s="92"/>
      <c r="H70" s="15" t="s">
        <v>614</v>
      </c>
    </row>
    <row r="71" spans="1:22">
      <c r="C71" s="18" t="s">
        <v>615</v>
      </c>
      <c r="D71" s="19"/>
      <c r="E71" s="19" t="s">
        <v>503</v>
      </c>
      <c r="F71" s="24" t="s">
        <v>282</v>
      </c>
      <c r="H71" s="44">
        <v>2025</v>
      </c>
      <c r="I71" s="45">
        <v>2026</v>
      </c>
      <c r="J71" s="45">
        <v>2027</v>
      </c>
      <c r="K71" s="45">
        <v>2028</v>
      </c>
      <c r="L71" s="45">
        <v>2029</v>
      </c>
      <c r="M71" s="45">
        <v>2030</v>
      </c>
      <c r="N71" s="45">
        <v>2031</v>
      </c>
      <c r="O71" s="45">
        <v>2032</v>
      </c>
      <c r="P71" s="45">
        <v>2033</v>
      </c>
      <c r="Q71" s="45">
        <v>2034</v>
      </c>
      <c r="R71" s="46">
        <v>2035</v>
      </c>
    </row>
    <row r="72" spans="1:22">
      <c r="C72" s="194" t="s">
        <v>618</v>
      </c>
      <c r="D72" s="35"/>
      <c r="E72" s="35" t="s">
        <v>232</v>
      </c>
      <c r="F72" s="1012"/>
      <c r="H72" s="1420">
        <v>344.91686197662244</v>
      </c>
      <c r="I72" s="1421">
        <v>316.0842582592976</v>
      </c>
      <c r="J72" s="1421">
        <v>286.2632386588939</v>
      </c>
      <c r="K72" s="1421">
        <v>255.41299936136187</v>
      </c>
      <c r="L72" s="1421">
        <v>223.48170081449058</v>
      </c>
      <c r="M72" s="1421">
        <v>190.39795849169712</v>
      </c>
      <c r="N72" s="1421">
        <v>155.29619616184743</v>
      </c>
      <c r="O72" s="1421">
        <v>118.88659675069533</v>
      </c>
      <c r="P72" s="1421">
        <v>81.036096028541166</v>
      </c>
      <c r="Q72" s="1421">
        <v>41.532821718708306</v>
      </c>
      <c r="R72" s="1422">
        <v>0</v>
      </c>
    </row>
    <row r="73" spans="1:22">
      <c r="C73" s="14" t="s">
        <v>619</v>
      </c>
      <c r="D73" s="2"/>
      <c r="E73" s="2" t="s">
        <v>232</v>
      </c>
      <c r="F73" s="26"/>
      <c r="H73" s="1241">
        <f>H82*$H$98*1000/10^6</f>
        <v>41.795334878103475</v>
      </c>
      <c r="I73" s="1240">
        <f t="shared" ref="I73:R73" si="3">I82*$H$98*1000/10^6</f>
        <v>32.030058549125378</v>
      </c>
      <c r="J73" s="1240">
        <f t="shared" si="3"/>
        <v>25.170519980472097</v>
      </c>
      <c r="K73" s="1240">
        <f t="shared" si="3"/>
        <v>20.101368180415154</v>
      </c>
      <c r="L73" s="1240">
        <f t="shared" si="3"/>
        <v>16.213328822579118</v>
      </c>
      <c r="M73" s="1240">
        <f t="shared" si="3"/>
        <v>10.589192175621468</v>
      </c>
      <c r="N73" s="1240">
        <f t="shared" si="3"/>
        <v>8.4713537404971753</v>
      </c>
      <c r="O73" s="1240">
        <f t="shared" si="3"/>
        <v>6.3535153053728806</v>
      </c>
      <c r="P73" s="1240">
        <f t="shared" si="3"/>
        <v>4.2356768702485876</v>
      </c>
      <c r="Q73" s="1240">
        <f t="shared" si="3"/>
        <v>2.1178384351242938</v>
      </c>
      <c r="R73" s="1242">
        <f t="shared" si="3"/>
        <v>0</v>
      </c>
    </row>
    <row r="74" spans="1:22">
      <c r="C74" s="14" t="s">
        <v>620</v>
      </c>
      <c r="D74" s="2"/>
      <c r="E74" s="2" t="s">
        <v>232</v>
      </c>
      <c r="F74" s="26"/>
      <c r="H74" s="1241">
        <f>H83*(($H$97+$H$96)/2)*1000/10^6</f>
        <v>139.39417867706237</v>
      </c>
      <c r="I74" s="1240">
        <f t="shared" ref="I74:R74" si="4">I83*(($H$97+$H$96)/2)*1000/10^6</f>
        <v>122.94719860063285</v>
      </c>
      <c r="J74" s="1240">
        <f t="shared" si="4"/>
        <v>106.50021852420333</v>
      </c>
      <c r="K74" s="1240">
        <f t="shared" si="4"/>
        <v>90.053238447773836</v>
      </c>
      <c r="L74" s="1240">
        <f t="shared" si="4"/>
        <v>73.60625837134431</v>
      </c>
      <c r="M74" s="1240">
        <f t="shared" si="4"/>
        <v>57.159278294914813</v>
      </c>
      <c r="N74" s="1240">
        <f t="shared" si="4"/>
        <v>45.727422635931852</v>
      </c>
      <c r="O74" s="1240">
        <f t="shared" si="4"/>
        <v>34.295566976948884</v>
      </c>
      <c r="P74" s="1240">
        <f t="shared" si="4"/>
        <v>22.863711317965926</v>
      </c>
      <c r="Q74" s="1240">
        <f t="shared" si="4"/>
        <v>11.431855658982963</v>
      </c>
      <c r="R74" s="1242">
        <f t="shared" si="4"/>
        <v>0</v>
      </c>
    </row>
    <row r="75" spans="1:22">
      <c r="C75" s="20" t="s">
        <v>621</v>
      </c>
      <c r="D75" s="21"/>
      <c r="E75" s="21" t="s">
        <v>232</v>
      </c>
      <c r="F75" s="27"/>
      <c r="H75" s="1243">
        <f>H84*(($H$104+$H$103)/2)*1000/10^6</f>
        <v>197.57006033194151</v>
      </c>
      <c r="I75" s="1423">
        <f t="shared" ref="I75:R75" si="5">I84*(($H$104+$H$103)/2)*1000/10^6</f>
        <v>180.76470339286308</v>
      </c>
      <c r="J75" s="1423">
        <f t="shared" si="5"/>
        <v>163.95934645378472</v>
      </c>
      <c r="K75" s="1423">
        <f t="shared" si="5"/>
        <v>147.15398951470632</v>
      </c>
      <c r="L75" s="1423">
        <f t="shared" si="5"/>
        <v>130.3486325756279</v>
      </c>
      <c r="M75" s="1423">
        <f t="shared" si="5"/>
        <v>113.54327563654952</v>
      </c>
      <c r="N75" s="1423">
        <f t="shared" si="5"/>
        <v>90.834620509239613</v>
      </c>
      <c r="O75" s="1423">
        <f t="shared" si="5"/>
        <v>68.125965381929731</v>
      </c>
      <c r="P75" s="1423">
        <f t="shared" si="5"/>
        <v>45.417310254619821</v>
      </c>
      <c r="Q75" s="1423">
        <f t="shared" si="5"/>
        <v>22.70865512730991</v>
      </c>
      <c r="R75" s="1424">
        <f t="shared" si="5"/>
        <v>0</v>
      </c>
    </row>
    <row r="77" spans="1:22">
      <c r="A77" t="s">
        <v>1193</v>
      </c>
      <c r="B77" s="102">
        <v>46042</v>
      </c>
      <c r="C77" s="16" t="s">
        <v>622</v>
      </c>
      <c r="D77" s="17"/>
      <c r="E77" s="17" t="s">
        <v>503</v>
      </c>
      <c r="F77" s="23" t="s">
        <v>282</v>
      </c>
      <c r="H77" s="44">
        <v>2025</v>
      </c>
      <c r="I77" s="45">
        <v>2026</v>
      </c>
      <c r="J77" s="45">
        <v>2027</v>
      </c>
      <c r="K77" s="45">
        <v>2028</v>
      </c>
      <c r="L77" s="45">
        <v>2029</v>
      </c>
      <c r="M77" s="45">
        <v>2030</v>
      </c>
      <c r="N77" s="45">
        <v>2031</v>
      </c>
      <c r="O77" s="45">
        <v>2032</v>
      </c>
      <c r="P77" s="45">
        <v>2033</v>
      </c>
      <c r="Q77" s="45">
        <v>2034</v>
      </c>
      <c r="R77" s="46">
        <v>2035</v>
      </c>
    </row>
    <row r="78" spans="1:22">
      <c r="C78" s="36" t="s">
        <v>35</v>
      </c>
      <c r="D78" s="1010"/>
      <c r="E78" s="1010"/>
      <c r="F78" s="1011"/>
      <c r="H78" s="1247">
        <f>H79+H80</f>
        <v>10568.368671702761</v>
      </c>
      <c r="I78" s="1248">
        <f t="shared" ref="I78:R78" si="6">I79+I80</f>
        <v>13479.239632972005</v>
      </c>
      <c r="J78" s="1248">
        <f t="shared" si="6"/>
        <v>15911.543976139319</v>
      </c>
      <c r="K78" s="1248">
        <f t="shared" si="6"/>
        <v>17865.281701204702</v>
      </c>
      <c r="L78" s="1248">
        <f t="shared" si="6"/>
        <v>19340.452808168149</v>
      </c>
      <c r="M78" s="1248">
        <f t="shared" si="6"/>
        <v>20337.057297029671</v>
      </c>
      <c r="N78" s="1248">
        <f t="shared" si="6"/>
        <v>21325.988738779466</v>
      </c>
      <c r="O78" s="1248">
        <f t="shared" si="6"/>
        <v>21715.972413599025</v>
      </c>
      <c r="P78" s="1248">
        <f t="shared" si="6"/>
        <v>21507.008321488342</v>
      </c>
      <c r="Q78" s="1248">
        <f t="shared" si="6"/>
        <v>20699.096462447429</v>
      </c>
      <c r="R78" s="1249">
        <f t="shared" si="6"/>
        <v>19540.36303093009</v>
      </c>
    </row>
    <row r="79" spans="1:22">
      <c r="C79" s="14" t="s">
        <v>616</v>
      </c>
      <c r="D79" s="2"/>
      <c r="E79" s="2" t="s">
        <v>232</v>
      </c>
      <c r="F79" s="26"/>
      <c r="H79" s="1241">
        <v>4184.5217237148381</v>
      </c>
      <c r="I79" s="1240">
        <v>5095.0917600929261</v>
      </c>
      <c r="J79" s="1240">
        <v>5889.3391587079896</v>
      </c>
      <c r="K79" s="1240">
        <v>6567.2639195600286</v>
      </c>
      <c r="L79" s="1240">
        <v>7128.8660426490424</v>
      </c>
      <c r="M79" s="1240">
        <v>7574.1455279750326</v>
      </c>
      <c r="N79" s="1240">
        <v>7805.4155508780468</v>
      </c>
      <c r="O79" s="1240">
        <v>7934.1071093560304</v>
      </c>
      <c r="P79" s="1240">
        <v>7960.2202034089842</v>
      </c>
      <c r="Q79" s="1240">
        <v>7883.7548330369073</v>
      </c>
      <c r="R79" s="1242">
        <v>9377.6770500228176</v>
      </c>
    </row>
    <row r="80" spans="1:22">
      <c r="C80" s="14" t="s">
        <v>617</v>
      </c>
      <c r="D80" s="2"/>
      <c r="E80" s="2" t="s">
        <v>232</v>
      </c>
      <c r="F80" s="26"/>
      <c r="H80" s="97">
        <v>6383.8469479879232</v>
      </c>
      <c r="I80" s="332">
        <v>8384.1478728790789</v>
      </c>
      <c r="J80" s="332">
        <v>10022.20481743133</v>
      </c>
      <c r="K80" s="332">
        <v>11298.017781644674</v>
      </c>
      <c r="L80" s="332">
        <v>12211.586765519107</v>
      </c>
      <c r="M80" s="332">
        <v>12762.911769054639</v>
      </c>
      <c r="N80" s="332">
        <v>13520.57318790142</v>
      </c>
      <c r="O80" s="332">
        <v>13781.865304242994</v>
      </c>
      <c r="P80" s="332">
        <v>13546.788118079359</v>
      </c>
      <c r="Q80" s="332">
        <v>12815.341629410523</v>
      </c>
      <c r="R80" s="459">
        <v>10162.685980907272</v>
      </c>
    </row>
    <row r="81" spans="1:18">
      <c r="C81" s="194" t="s">
        <v>618</v>
      </c>
      <c r="D81" s="35"/>
      <c r="E81" s="35" t="s">
        <v>232</v>
      </c>
      <c r="F81" s="1012"/>
      <c r="H81" s="1250">
        <f>H82+H83+H84</f>
        <v>12537.113825819102</v>
      </c>
      <c r="I81" s="1251">
        <f t="shared" ref="I81:R81" si="7">I82+I83+I84</f>
        <v>11200.169873821447</v>
      </c>
      <c r="J81" s="1251">
        <f t="shared" si="7"/>
        <v>9921.6173459475685</v>
      </c>
      <c r="K81" s="1251">
        <f t="shared" si="7"/>
        <v>8679.0430245650496</v>
      </c>
      <c r="L81" s="1251">
        <f t="shared" si="7"/>
        <v>7460.2034112808542</v>
      </c>
      <c r="M81" s="1251">
        <f t="shared" si="7"/>
        <v>6206.4765502507007</v>
      </c>
      <c r="N81" s="1251">
        <f t="shared" si="7"/>
        <v>4965.1812402005608</v>
      </c>
      <c r="O81" s="1251">
        <f t="shared" si="7"/>
        <v>3723.8859301504208</v>
      </c>
      <c r="P81" s="1251">
        <f t="shared" si="7"/>
        <v>2482.5906201002808</v>
      </c>
      <c r="Q81" s="1251">
        <f t="shared" si="7"/>
        <v>1241.2953100501404</v>
      </c>
      <c r="R81" s="1252">
        <f t="shared" si="7"/>
        <v>0</v>
      </c>
    </row>
    <row r="82" spans="1:18">
      <c r="C82" s="14" t="s">
        <v>619</v>
      </c>
      <c r="D82" s="2"/>
      <c r="E82" s="2" t="s">
        <v>232</v>
      </c>
      <c r="F82" s="26"/>
      <c r="H82" s="1241">
        <v>839.88622737578112</v>
      </c>
      <c r="I82" s="1240">
        <v>643.65090304717273</v>
      </c>
      <c r="J82" s="1240">
        <v>505.80700284233973</v>
      </c>
      <c r="K82" s="1240">
        <v>403.94130912886556</v>
      </c>
      <c r="L82" s="1240">
        <v>325.81032351371601</v>
      </c>
      <c r="M82" s="1240">
        <v>212.79209015260844</v>
      </c>
      <c r="N82" s="1240">
        <v>170.23367212208677</v>
      </c>
      <c r="O82" s="1240">
        <v>127.67525409156507</v>
      </c>
      <c r="P82" s="1240">
        <v>85.116836061043387</v>
      </c>
      <c r="Q82" s="1240">
        <v>42.558418030521693</v>
      </c>
      <c r="R82" s="1242">
        <v>0</v>
      </c>
    </row>
    <row r="83" spans="1:18">
      <c r="C83" s="14" t="s">
        <v>620</v>
      </c>
      <c r="D83" s="2"/>
      <c r="E83" s="2" t="s">
        <v>232</v>
      </c>
      <c r="F83" s="26"/>
      <c r="H83" s="97">
        <v>4425.9068173861251</v>
      </c>
      <c r="I83" s="332">
        <v>3903.6984874792938</v>
      </c>
      <c r="J83" s="332">
        <v>3381.4901575724625</v>
      </c>
      <c r="K83" s="332">
        <v>2859.2818276656317</v>
      </c>
      <c r="L83" s="332">
        <v>2337.0734977588004</v>
      </c>
      <c r="M83" s="332">
        <v>1814.8651678519695</v>
      </c>
      <c r="N83" s="332">
        <v>1451.8921342815756</v>
      </c>
      <c r="O83" s="332">
        <v>1088.9191007111817</v>
      </c>
      <c r="P83" s="332">
        <v>725.94606714078782</v>
      </c>
      <c r="Q83" s="332">
        <v>362.97303357039391</v>
      </c>
      <c r="R83" s="459">
        <v>0</v>
      </c>
    </row>
    <row r="84" spans="1:18">
      <c r="C84" s="20" t="s">
        <v>621</v>
      </c>
      <c r="D84" s="21"/>
      <c r="E84" s="21" t="s">
        <v>232</v>
      </c>
      <c r="F84" s="27"/>
      <c r="H84" s="99">
        <v>7271.3207810571957</v>
      </c>
      <c r="I84" s="1093">
        <v>6652.8204832949805</v>
      </c>
      <c r="J84" s="1093">
        <v>6034.3201855327661</v>
      </c>
      <c r="K84" s="1093">
        <v>5415.8198877705518</v>
      </c>
      <c r="L84" s="1093">
        <v>4797.3195900083374</v>
      </c>
      <c r="M84" s="1093">
        <v>4178.819292246123</v>
      </c>
      <c r="N84" s="1093">
        <v>3343.0554337968983</v>
      </c>
      <c r="O84" s="1093">
        <v>2507.2915753476741</v>
      </c>
      <c r="P84" s="1093">
        <v>1671.5277168984496</v>
      </c>
      <c r="Q84" s="1093">
        <v>835.76385844922481</v>
      </c>
      <c r="R84" s="1094">
        <v>0</v>
      </c>
    </row>
    <row r="85" spans="1:18">
      <c r="C85" s="299" t="s">
        <v>1199</v>
      </c>
      <c r="D85" s="63"/>
      <c r="E85" s="63"/>
      <c r="F85" s="64"/>
      <c r="H85" s="91">
        <f>H78+H81</f>
        <v>23105.482497521865</v>
      </c>
      <c r="I85" s="92">
        <f t="shared" ref="I85:R85" si="8">I78+I81</f>
        <v>24679.409506793454</v>
      </c>
      <c r="J85" s="92">
        <f t="shared" si="8"/>
        <v>25833.161322086889</v>
      </c>
      <c r="K85" s="92">
        <f t="shared" si="8"/>
        <v>26544.324725769751</v>
      </c>
      <c r="L85" s="92">
        <f t="shared" si="8"/>
        <v>26800.656219449003</v>
      </c>
      <c r="M85" s="92">
        <f t="shared" si="8"/>
        <v>26543.533847280371</v>
      </c>
      <c r="N85" s="92">
        <f t="shared" si="8"/>
        <v>26291.169978980026</v>
      </c>
      <c r="O85" s="92">
        <f t="shared" si="8"/>
        <v>25439.858343749445</v>
      </c>
      <c r="P85" s="92">
        <f t="shared" si="8"/>
        <v>23989.598941588622</v>
      </c>
      <c r="Q85" s="92">
        <f t="shared" si="8"/>
        <v>21940.391772497569</v>
      </c>
      <c r="R85" s="33">
        <f t="shared" si="8"/>
        <v>19540.36303093009</v>
      </c>
    </row>
    <row r="86" spans="1:18">
      <c r="C86" s="199" t="s">
        <v>1200</v>
      </c>
      <c r="D86" s="70"/>
      <c r="E86" s="70"/>
      <c r="F86" s="29"/>
      <c r="H86" s="1244">
        <f>H79+H82+H83</f>
        <v>9450.3147684767446</v>
      </c>
      <c r="I86" s="1245">
        <f t="shared" ref="I86:R86" si="9">I79+I82+I83</f>
        <v>9642.4411506193919</v>
      </c>
      <c r="J86" s="1245">
        <f t="shared" si="9"/>
        <v>9776.636319122792</v>
      </c>
      <c r="K86" s="1245">
        <f t="shared" si="9"/>
        <v>9830.4870563545264</v>
      </c>
      <c r="L86" s="1245">
        <f t="shared" si="9"/>
        <v>9791.7498639215592</v>
      </c>
      <c r="M86" s="1245">
        <f t="shared" si="9"/>
        <v>9601.8027859796111</v>
      </c>
      <c r="N86" s="1245">
        <f t="shared" si="9"/>
        <v>9427.5413572817088</v>
      </c>
      <c r="O86" s="1245">
        <f t="shared" si="9"/>
        <v>9150.7014641587775</v>
      </c>
      <c r="P86" s="1245">
        <f t="shared" si="9"/>
        <v>8771.2831066108156</v>
      </c>
      <c r="Q86" s="1245">
        <f t="shared" si="9"/>
        <v>8289.286284637823</v>
      </c>
      <c r="R86" s="1246">
        <f t="shared" si="9"/>
        <v>9377.6770500228176</v>
      </c>
    </row>
    <row r="87" spans="1:18">
      <c r="C87" s="20" t="s">
        <v>1201</v>
      </c>
      <c r="D87" s="92"/>
      <c r="E87" s="92"/>
      <c r="F87" s="33"/>
      <c r="H87" s="91">
        <f>H84+H80</f>
        <v>13655.167729045119</v>
      </c>
      <c r="I87" s="92">
        <f t="shared" ref="I87:R87" si="10">I84+I80</f>
        <v>15036.96835617406</v>
      </c>
      <c r="J87" s="92">
        <f t="shared" si="10"/>
        <v>16056.525002964096</v>
      </c>
      <c r="K87" s="92">
        <f t="shared" si="10"/>
        <v>16713.837669415225</v>
      </c>
      <c r="L87" s="92">
        <f t="shared" si="10"/>
        <v>17008.906355527444</v>
      </c>
      <c r="M87" s="92">
        <f>M84+M80</f>
        <v>16941.731061300761</v>
      </c>
      <c r="N87" s="92">
        <f t="shared" si="10"/>
        <v>16863.628621698317</v>
      </c>
      <c r="O87" s="92">
        <f t="shared" si="10"/>
        <v>16289.156879590668</v>
      </c>
      <c r="P87" s="92">
        <f t="shared" si="10"/>
        <v>15218.31583497781</v>
      </c>
      <c r="Q87" s="92">
        <f t="shared" si="10"/>
        <v>13651.105487859748</v>
      </c>
      <c r="R87" s="33">
        <f t="shared" si="10"/>
        <v>10162.685980907272</v>
      </c>
    </row>
    <row r="89" spans="1:18">
      <c r="C89" s="100" t="s">
        <v>1270</v>
      </c>
    </row>
    <row r="90" spans="1:18">
      <c r="C90" s="100" t="s">
        <v>1271</v>
      </c>
    </row>
    <row r="91" spans="1:18">
      <c r="C91" s="100" t="s">
        <v>1253</v>
      </c>
    </row>
    <row r="94" spans="1:18">
      <c r="A94" t="s">
        <v>1198</v>
      </c>
      <c r="B94" s="102">
        <v>46042</v>
      </c>
      <c r="C94" s="36" t="s">
        <v>1194</v>
      </c>
      <c r="D94" s="19"/>
      <c r="E94" s="19" t="s">
        <v>503</v>
      </c>
      <c r="F94" s="24" t="s">
        <v>282</v>
      </c>
      <c r="H94" s="111"/>
      <c r="I94" s="153"/>
      <c r="J94" s="153"/>
      <c r="K94" s="153"/>
      <c r="L94" s="153"/>
      <c r="M94" s="153"/>
      <c r="N94" s="153"/>
      <c r="O94" s="153"/>
      <c r="P94" s="153"/>
      <c r="Q94" s="153"/>
      <c r="R94" s="153"/>
    </row>
    <row r="95" spans="1:18">
      <c r="C95" s="36" t="s">
        <v>1195</v>
      </c>
      <c r="D95" s="19"/>
      <c r="E95" s="19" t="s">
        <v>1206</v>
      </c>
      <c r="F95" s="24"/>
      <c r="H95" s="88">
        <v>34.990441783005558</v>
      </c>
    </row>
    <row r="96" spans="1:18">
      <c r="C96" s="72" t="s">
        <v>437</v>
      </c>
      <c r="D96" s="2"/>
      <c r="E96" s="286" t="s">
        <v>232</v>
      </c>
      <c r="F96" s="31"/>
      <c r="H96" s="89">
        <v>29.803281077401774</v>
      </c>
    </row>
    <row r="97" spans="3:8">
      <c r="C97" s="72" t="s">
        <v>669</v>
      </c>
      <c r="D97" s="2"/>
      <c r="E97" s="286" t="s">
        <v>232</v>
      </c>
      <c r="F97" s="31"/>
      <c r="H97" s="89">
        <v>33.186828940046126</v>
      </c>
    </row>
    <row r="98" spans="3:8">
      <c r="C98" s="72" t="s">
        <v>590</v>
      </c>
      <c r="D98" s="2"/>
      <c r="E98" s="286" t="s">
        <v>232</v>
      </c>
      <c r="F98" s="31"/>
      <c r="H98" s="89">
        <v>49.76309113758505</v>
      </c>
    </row>
    <row r="99" spans="3:8">
      <c r="C99" s="72" t="s">
        <v>587</v>
      </c>
      <c r="D99" s="2"/>
      <c r="E99" s="286" t="s">
        <v>232</v>
      </c>
      <c r="F99" s="31"/>
      <c r="H99" s="89">
        <v>43.971050773845725</v>
      </c>
    </row>
    <row r="100" spans="3:8">
      <c r="C100" s="72" t="s">
        <v>670</v>
      </c>
      <c r="D100" s="2"/>
      <c r="E100" s="286" t="s">
        <v>232</v>
      </c>
      <c r="F100" s="31"/>
      <c r="H100" s="89">
        <v>89.094544691882788</v>
      </c>
    </row>
    <row r="101" spans="3:8">
      <c r="C101" s="278" t="s">
        <v>1196</v>
      </c>
      <c r="D101" s="21"/>
      <c r="E101" s="287" t="s">
        <v>232</v>
      </c>
      <c r="F101" s="33"/>
      <c r="H101" s="90">
        <v>27.009450000000001</v>
      </c>
    </row>
    <row r="102" spans="3:8">
      <c r="C102" s="36" t="s">
        <v>1197</v>
      </c>
      <c r="D102" s="19"/>
      <c r="E102" s="19" t="s">
        <v>1206</v>
      </c>
      <c r="F102" s="24"/>
      <c r="H102" s="89">
        <v>28.072002688229251</v>
      </c>
    </row>
    <row r="103" spans="3:8">
      <c r="C103" s="72" t="s">
        <v>437</v>
      </c>
      <c r="D103" s="2"/>
      <c r="E103" s="286" t="s">
        <v>232</v>
      </c>
      <c r="F103" s="31"/>
      <c r="H103" s="89">
        <v>27.171137992789298</v>
      </c>
    </row>
    <row r="104" spans="3:8">
      <c r="C104" s="72" t="s">
        <v>669</v>
      </c>
      <c r="D104" s="2"/>
      <c r="E104" s="286" t="s">
        <v>232</v>
      </c>
      <c r="F104" s="31"/>
      <c r="H104" s="89">
        <v>27.171137992789298</v>
      </c>
    </row>
    <row r="105" spans="3:8">
      <c r="C105" s="72" t="s">
        <v>590</v>
      </c>
      <c r="D105" s="2"/>
      <c r="E105" s="286" t="s">
        <v>232</v>
      </c>
      <c r="F105" s="31"/>
      <c r="H105" s="89">
        <v>53.936405230390655</v>
      </c>
    </row>
    <row r="106" spans="3:8">
      <c r="C106" s="72" t="s">
        <v>587</v>
      </c>
      <c r="D106" s="2"/>
      <c r="E106" s="286" t="s">
        <v>232</v>
      </c>
      <c r="F106" s="31"/>
      <c r="H106" s="89">
        <v>33.644798179130021</v>
      </c>
    </row>
    <row r="107" spans="3:8">
      <c r="C107" s="72" t="s">
        <v>670</v>
      </c>
      <c r="D107" s="2"/>
      <c r="E107" s="286" t="s">
        <v>232</v>
      </c>
      <c r="F107" s="31"/>
      <c r="H107" s="89">
        <v>115.63903092857144</v>
      </c>
    </row>
    <row r="108" spans="3:8">
      <c r="C108" s="278" t="s">
        <v>671</v>
      </c>
      <c r="D108" s="21"/>
      <c r="E108" s="287" t="s">
        <v>232</v>
      </c>
      <c r="F108" s="33"/>
      <c r="H108" s="90">
        <v>29.98043307677662</v>
      </c>
    </row>
    <row r="110" spans="3:8">
      <c r="C110" s="35" t="s">
        <v>1252</v>
      </c>
    </row>
    <row r="111" spans="3:8">
      <c r="C111" s="2" t="s">
        <v>1272</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9DED7-DC17-4F71-B97D-6744545B9446}">
  <dimension ref="A1:V87"/>
  <sheetViews>
    <sheetView topLeftCell="A92" zoomScale="61" workbookViewId="0">
      <selection activeCell="Q43" sqref="Q43"/>
    </sheetView>
  </sheetViews>
  <sheetFormatPr baseColWidth="10" defaultColWidth="11.453125" defaultRowHeight="14.5"/>
  <cols>
    <col min="1" max="1" width="18" customWidth="1"/>
    <col min="3" max="3" width="32.81640625" customWidth="1"/>
    <col min="4" max="4" width="18.26953125" customWidth="1"/>
    <col min="8" max="8" width="14.1796875" bestFit="1" customWidth="1"/>
    <col min="11" max="11" width="14.26953125" bestFit="1" customWidth="1"/>
  </cols>
  <sheetData>
    <row r="1" spans="1:20" ht="21">
      <c r="A1" s="95" t="s">
        <v>264</v>
      </c>
      <c r="B1" s="95" t="s">
        <v>265</v>
      </c>
      <c r="C1" s="1" t="s">
        <v>625</v>
      </c>
      <c r="H1" s="150">
        <v>2011</v>
      </c>
      <c r="I1" s="151">
        <v>2012</v>
      </c>
      <c r="J1" s="151">
        <v>2013</v>
      </c>
      <c r="K1" s="151">
        <v>2014</v>
      </c>
      <c r="L1" s="151">
        <v>2015</v>
      </c>
      <c r="M1" s="151">
        <v>2016</v>
      </c>
      <c r="N1" s="151">
        <v>2017</v>
      </c>
      <c r="O1" s="151">
        <v>2018</v>
      </c>
      <c r="P1" s="151">
        <v>2019</v>
      </c>
      <c r="Q1" s="151">
        <v>2020</v>
      </c>
      <c r="R1" s="151">
        <v>2021</v>
      </c>
      <c r="S1" s="151">
        <v>2022</v>
      </c>
      <c r="T1" s="152">
        <v>2023</v>
      </c>
    </row>
    <row r="3" spans="1:20">
      <c r="N3" s="6"/>
      <c r="O3" s="6"/>
      <c r="P3" s="6"/>
      <c r="Q3" s="6"/>
      <c r="R3" s="6"/>
      <c r="S3" s="6"/>
      <c r="T3" s="6"/>
    </row>
    <row r="4" spans="1:20">
      <c r="C4" s="7" t="s">
        <v>267</v>
      </c>
    </row>
    <row r="5" spans="1:20">
      <c r="C5" t="s">
        <v>580</v>
      </c>
    </row>
    <row r="7" spans="1:20">
      <c r="C7" s="7" t="s">
        <v>269</v>
      </c>
    </row>
    <row r="8" spans="1:20">
      <c r="C8" s="7"/>
    </row>
    <row r="9" spans="1:20">
      <c r="C9" s="7"/>
    </row>
    <row r="10" spans="1:20">
      <c r="C10" s="7"/>
    </row>
    <row r="15" spans="1:20">
      <c r="C15" t="s">
        <v>581</v>
      </c>
    </row>
    <row r="16" spans="1:20">
      <c r="C16" s="7"/>
    </row>
    <row r="17" spans="1:22" s="8" customFormat="1" ht="21">
      <c r="C17" s="9" t="s">
        <v>582</v>
      </c>
      <c r="P17" s="10"/>
    </row>
    <row r="19" spans="1:22">
      <c r="C19" s="7" t="s">
        <v>272</v>
      </c>
    </row>
    <row r="20" spans="1:22">
      <c r="C20" t="s">
        <v>583</v>
      </c>
    </row>
    <row r="21" spans="1:22">
      <c r="C21" t="s">
        <v>626</v>
      </c>
    </row>
    <row r="22" spans="1:22" ht="21">
      <c r="C22" s="52"/>
    </row>
    <row r="23" spans="1:22">
      <c r="C23" s="7" t="s">
        <v>277</v>
      </c>
    </row>
    <row r="24" spans="1:22">
      <c r="A24" t="s">
        <v>627</v>
      </c>
      <c r="B24" s="94">
        <v>45810</v>
      </c>
      <c r="C24" s="35" t="s">
        <v>628</v>
      </c>
      <c r="H24" s="154">
        <v>2011</v>
      </c>
      <c r="I24" s="155">
        <v>2012</v>
      </c>
      <c r="J24" s="155">
        <v>2013</v>
      </c>
      <c r="K24" s="155">
        <v>2014</v>
      </c>
      <c r="L24" s="155">
        <v>2015</v>
      </c>
      <c r="M24" s="155">
        <v>2016</v>
      </c>
      <c r="N24" s="12">
        <v>2017</v>
      </c>
      <c r="O24" s="12">
        <v>2018</v>
      </c>
      <c r="P24" s="12">
        <v>2019</v>
      </c>
      <c r="Q24" s="12">
        <v>2020</v>
      </c>
      <c r="R24" s="12">
        <v>2021</v>
      </c>
      <c r="S24" s="12">
        <v>2022</v>
      </c>
      <c r="T24" s="12">
        <v>2023</v>
      </c>
      <c r="U24" s="12">
        <v>2024</v>
      </c>
      <c r="V24" s="13">
        <v>2025</v>
      </c>
    </row>
    <row r="25" spans="1:22">
      <c r="C25" s="36" t="s">
        <v>286</v>
      </c>
      <c r="D25" s="19"/>
      <c r="E25" s="19"/>
      <c r="F25" s="24"/>
      <c r="G25" s="2"/>
      <c r="H25" s="640"/>
      <c r="I25" s="381"/>
      <c r="J25" s="381"/>
      <c r="K25" s="381"/>
      <c r="L25" s="381"/>
      <c r="M25" s="381"/>
      <c r="N25" s="641"/>
      <c r="O25" s="641"/>
      <c r="P25" s="641"/>
      <c r="Q25" s="641"/>
      <c r="R25" s="641"/>
      <c r="S25" s="641"/>
      <c r="T25" s="641"/>
      <c r="U25" s="381"/>
      <c r="V25" s="823"/>
    </row>
    <row r="26" spans="1:22">
      <c r="A26" s="818" t="s">
        <v>572</v>
      </c>
      <c r="C26" s="54" t="s">
        <v>621</v>
      </c>
      <c r="D26" s="2"/>
      <c r="E26" s="2" t="s">
        <v>294</v>
      </c>
      <c r="F26" s="26"/>
      <c r="G26" s="2"/>
      <c r="H26" s="640">
        <v>184.182635204842</v>
      </c>
      <c r="I26" s="381">
        <v>164.34348718023611</v>
      </c>
      <c r="J26" s="641">
        <v>156.37981398636529</v>
      </c>
      <c r="K26" s="641">
        <v>159.14016470870015</v>
      </c>
      <c r="L26" s="641">
        <v>162.61779191031715</v>
      </c>
      <c r="M26" s="641">
        <v>175.5990150834497</v>
      </c>
      <c r="N26" s="641">
        <v>188.22773601042175</v>
      </c>
      <c r="O26" s="641">
        <v>195.62097339658024</v>
      </c>
      <c r="P26" s="641">
        <v>213.70709596567377</v>
      </c>
      <c r="Q26" s="381">
        <v>188.34184976851989</v>
      </c>
      <c r="R26" s="381">
        <v>214.62647472806563</v>
      </c>
      <c r="S26" s="381">
        <v>187.91326442642583</v>
      </c>
      <c r="T26" s="381">
        <v>235.75158222621704</v>
      </c>
      <c r="U26" s="381">
        <v>253.99237698708365</v>
      </c>
      <c r="V26" s="823">
        <v>213.85480402432492</v>
      </c>
    </row>
    <row r="27" spans="1:22">
      <c r="C27" s="54" t="s">
        <v>629</v>
      </c>
      <c r="D27" s="2"/>
      <c r="E27" s="2" t="s">
        <v>232</v>
      </c>
      <c r="F27" s="26"/>
      <c r="G27" s="2"/>
      <c r="H27" s="640">
        <v>0</v>
      </c>
      <c r="I27" s="381">
        <v>0</v>
      </c>
      <c r="J27" s="641">
        <v>0</v>
      </c>
      <c r="K27" s="641">
        <v>0</v>
      </c>
      <c r="L27" s="641">
        <v>0</v>
      </c>
      <c r="M27" s="641">
        <v>0</v>
      </c>
      <c r="N27" s="641">
        <v>0</v>
      </c>
      <c r="O27" s="641">
        <v>0</v>
      </c>
      <c r="P27" s="641">
        <v>5.1481808695652172E-2</v>
      </c>
      <c r="Q27" s="381">
        <v>0.14439276521739131</v>
      </c>
      <c r="R27" s="381">
        <v>0.25344890434782608</v>
      </c>
      <c r="S27" s="381">
        <v>0.17119986086956523</v>
      </c>
      <c r="T27" s="381">
        <v>3.7073742331288351E-2</v>
      </c>
      <c r="U27" s="381">
        <v>0.27415960334029227</v>
      </c>
      <c r="V27" s="823">
        <v>0.51304500863176483</v>
      </c>
    </row>
    <row r="28" spans="1:22">
      <c r="C28" s="54" t="s">
        <v>630</v>
      </c>
      <c r="D28" s="2"/>
      <c r="E28" s="2" t="s">
        <v>232</v>
      </c>
      <c r="F28" s="26"/>
      <c r="G28" s="2"/>
      <c r="H28" s="640">
        <v>4.8376971975733953</v>
      </c>
      <c r="I28" s="381">
        <v>3.5385852535059334</v>
      </c>
      <c r="J28" s="641">
        <v>3.0656867634060618</v>
      </c>
      <c r="K28" s="641">
        <v>3.0656867634060618</v>
      </c>
      <c r="L28" s="641">
        <v>3.6309907055944137</v>
      </c>
      <c r="M28" s="641">
        <v>4.6637575230539019</v>
      </c>
      <c r="N28" s="641">
        <v>5.4790997473640255</v>
      </c>
      <c r="O28" s="641">
        <v>5.0860180884109916</v>
      </c>
      <c r="P28" s="641">
        <v>7.4272835408602154</v>
      </c>
      <c r="Q28" s="381">
        <v>10.293001774551973</v>
      </c>
      <c r="R28" s="381">
        <v>16.640275393309437</v>
      </c>
      <c r="S28" s="381">
        <v>10.173833497968937</v>
      </c>
      <c r="T28" s="381">
        <v>13.286574126777026</v>
      </c>
      <c r="U28" s="381">
        <v>10.335887221590054</v>
      </c>
      <c r="V28" s="823">
        <v>10.335887221590054</v>
      </c>
    </row>
    <row r="29" spans="1:22">
      <c r="C29" s="55" t="s">
        <v>617</v>
      </c>
      <c r="D29" s="21"/>
      <c r="E29" s="21" t="s">
        <v>232</v>
      </c>
      <c r="F29" s="27"/>
      <c r="G29" s="2"/>
      <c r="H29" s="642">
        <v>6.0637514419349934</v>
      </c>
      <c r="I29" s="382">
        <v>13.15978437934225</v>
      </c>
      <c r="J29" s="643">
        <v>17.801717724837026</v>
      </c>
      <c r="K29" s="643">
        <v>15.19171577960363</v>
      </c>
      <c r="L29" s="643">
        <v>16.115952795603814</v>
      </c>
      <c r="M29" s="643">
        <v>17.743021327006694</v>
      </c>
      <c r="N29" s="643">
        <v>20.130984960726728</v>
      </c>
      <c r="O29" s="643">
        <v>26.648306324661746</v>
      </c>
      <c r="P29" s="643">
        <v>26.844547068111527</v>
      </c>
      <c r="Q29" s="382">
        <v>31.760499549230758</v>
      </c>
      <c r="R29" s="382">
        <v>31.283199690722963</v>
      </c>
      <c r="S29" s="382">
        <v>45.147872495149485</v>
      </c>
      <c r="T29" s="382">
        <v>73.386686988936617</v>
      </c>
      <c r="U29" s="643">
        <v>97.976723273228899</v>
      </c>
      <c r="V29" s="824">
        <v>117.8182839456308</v>
      </c>
    </row>
    <row r="30" spans="1:22">
      <c r="C30" s="65" t="s">
        <v>241</v>
      </c>
      <c r="D30" s="63"/>
      <c r="E30" s="63"/>
      <c r="F30" s="64"/>
      <c r="H30" s="825">
        <f>SUM(H25:H29)</f>
        <v>195.08408384435037</v>
      </c>
      <c r="I30" s="826">
        <f t="shared" ref="I30:V30" si="0">SUM(I25:I29)</f>
        <v>181.04185681308431</v>
      </c>
      <c r="J30" s="826">
        <f t="shared" si="0"/>
        <v>177.24721847460839</v>
      </c>
      <c r="K30" s="826">
        <f t="shared" si="0"/>
        <v>177.39756725170986</v>
      </c>
      <c r="L30" s="826">
        <f t="shared" si="0"/>
        <v>182.3647354115154</v>
      </c>
      <c r="M30" s="826">
        <f t="shared" si="0"/>
        <v>198.00579393351029</v>
      </c>
      <c r="N30" s="826">
        <f t="shared" si="0"/>
        <v>213.83782071851249</v>
      </c>
      <c r="O30" s="826">
        <f t="shared" si="0"/>
        <v>227.35529780965297</v>
      </c>
      <c r="P30" s="826">
        <f t="shared" si="0"/>
        <v>248.03040838334115</v>
      </c>
      <c r="Q30" s="826">
        <f t="shared" si="0"/>
        <v>230.53974385752002</v>
      </c>
      <c r="R30" s="826">
        <f t="shared" si="0"/>
        <v>262.80339871644583</v>
      </c>
      <c r="S30" s="826">
        <f t="shared" si="0"/>
        <v>243.40617028041379</v>
      </c>
      <c r="T30" s="826">
        <f t="shared" si="0"/>
        <v>322.46191708426198</v>
      </c>
      <c r="U30" s="826">
        <f t="shared" si="0"/>
        <v>362.57914708524288</v>
      </c>
      <c r="V30" s="827">
        <f t="shared" si="0"/>
        <v>342.52202020017751</v>
      </c>
    </row>
    <row r="32" spans="1:22">
      <c r="A32" t="s">
        <v>627</v>
      </c>
      <c r="B32" s="94">
        <v>45810</v>
      </c>
      <c r="C32" s="35" t="s">
        <v>631</v>
      </c>
      <c r="H32" s="154">
        <v>2011</v>
      </c>
      <c r="I32" s="155">
        <v>2012</v>
      </c>
      <c r="J32" s="155">
        <v>2013</v>
      </c>
      <c r="K32" s="155">
        <v>2014</v>
      </c>
      <c r="L32" s="155">
        <v>2015</v>
      </c>
      <c r="M32" s="155">
        <v>2016</v>
      </c>
      <c r="N32" s="12">
        <v>2017</v>
      </c>
      <c r="O32" s="12">
        <v>2018</v>
      </c>
      <c r="P32" s="12">
        <v>2019</v>
      </c>
      <c r="Q32" s="12">
        <v>2020</v>
      </c>
      <c r="R32" s="12">
        <v>2021</v>
      </c>
      <c r="S32" s="12">
        <v>2022</v>
      </c>
      <c r="T32" s="12">
        <v>2023</v>
      </c>
      <c r="U32" s="12">
        <v>2024</v>
      </c>
      <c r="V32" s="13">
        <v>2025</v>
      </c>
    </row>
    <row r="33" spans="3:22">
      <c r="C33" s="36" t="s">
        <v>286</v>
      </c>
      <c r="D33" s="19"/>
      <c r="E33" s="19"/>
      <c r="F33" s="24"/>
      <c r="H33" s="636"/>
      <c r="I33" s="633"/>
      <c r="J33" s="633"/>
      <c r="K33" s="633"/>
      <c r="L33" s="633"/>
      <c r="M33" s="633"/>
      <c r="N33" s="633"/>
      <c r="O33" s="633"/>
      <c r="P33" s="633"/>
      <c r="Q33" s="633"/>
      <c r="R33" s="633"/>
      <c r="S33" s="633"/>
      <c r="T33" s="633"/>
      <c r="U33" s="633"/>
      <c r="V33" s="634"/>
    </row>
    <row r="34" spans="3:22">
      <c r="C34" s="54" t="s">
        <v>621</v>
      </c>
      <c r="D34" s="2"/>
      <c r="E34" s="2" t="s">
        <v>624</v>
      </c>
      <c r="F34" s="26"/>
      <c r="H34" s="637">
        <v>8606.6651964879293</v>
      </c>
      <c r="I34" s="380">
        <v>7679.6022046839316</v>
      </c>
      <c r="J34" s="380">
        <v>7307.4679432880994</v>
      </c>
      <c r="K34" s="380">
        <v>7436.4562947990726</v>
      </c>
      <c r="L34" s="380">
        <v>7598.962238799867</v>
      </c>
      <c r="M34" s="380">
        <v>8205.56145249765</v>
      </c>
      <c r="N34" s="380">
        <v>8795.6885986178386</v>
      </c>
      <c r="O34" s="380">
        <v>9141.1669811486099</v>
      </c>
      <c r="P34" s="380">
        <v>9509.5045595013471</v>
      </c>
      <c r="Q34" s="380">
        <v>7922.5108218785972</v>
      </c>
      <c r="R34" s="380">
        <v>8486.2787049964663</v>
      </c>
      <c r="S34" s="380">
        <v>6741.5248771767901</v>
      </c>
      <c r="T34" s="380">
        <v>7640.2522872547388</v>
      </c>
      <c r="U34" s="380">
        <v>7650.0010457890476</v>
      </c>
      <c r="V34" s="630">
        <v>6441.0967519560363</v>
      </c>
    </row>
    <row r="35" spans="3:22">
      <c r="C35" s="54" t="s">
        <v>632</v>
      </c>
      <c r="D35" s="2"/>
      <c r="E35" s="2" t="s">
        <v>232</v>
      </c>
      <c r="F35" s="26"/>
      <c r="H35" s="637">
        <v>6.956521739130435E-3</v>
      </c>
      <c r="I35" s="380">
        <v>3.4782608695652174E-2</v>
      </c>
      <c r="J35" s="380">
        <v>3.4782608695652174E-2</v>
      </c>
      <c r="K35" s="380">
        <v>1.391304347826087E-2</v>
      </c>
      <c r="L35" s="380">
        <v>5.565217391304348E-2</v>
      </c>
      <c r="M35" s="380">
        <v>6.2608695652173918E-2</v>
      </c>
      <c r="N35" s="380">
        <v>4.8695652173913043E-2</v>
      </c>
      <c r="O35" s="380">
        <v>0.15304347826086956</v>
      </c>
      <c r="P35" s="380">
        <v>1.1756521739130434</v>
      </c>
      <c r="Q35" s="380">
        <v>3.2973913043478262</v>
      </c>
      <c r="R35" s="380">
        <v>5.7878260869565219</v>
      </c>
      <c r="S35" s="380">
        <v>3.9095652173913047</v>
      </c>
      <c r="T35" s="380">
        <v>0.84662576687116575</v>
      </c>
      <c r="U35" s="380">
        <v>5.2171189979123174</v>
      </c>
      <c r="V35" s="630">
        <v>9.7629877950859161</v>
      </c>
    </row>
    <row r="36" spans="3:22">
      <c r="C36" s="54" t="s">
        <v>630</v>
      </c>
      <c r="D36" s="2"/>
      <c r="E36" s="2" t="s">
        <v>232</v>
      </c>
      <c r="F36" s="26"/>
      <c r="H36" s="637">
        <v>205.22102747909199</v>
      </c>
      <c r="I36" s="380">
        <v>150.11111111111111</v>
      </c>
      <c r="J36" s="380">
        <v>130.05017921146953</v>
      </c>
      <c r="K36" s="380">
        <v>130.05017921146953</v>
      </c>
      <c r="L36" s="380">
        <v>154.03106332138589</v>
      </c>
      <c r="M36" s="380">
        <v>197.84229390681003</v>
      </c>
      <c r="N36" s="380">
        <v>232.43010752688173</v>
      </c>
      <c r="O36" s="380">
        <v>216.0585424133811</v>
      </c>
      <c r="P36" s="380">
        <v>300.45280764635601</v>
      </c>
      <c r="Q36" s="380">
        <v>393.60931899641577</v>
      </c>
      <c r="R36" s="380">
        <v>598.13859020310633</v>
      </c>
      <c r="S36" s="380">
        <v>331.81242532855435</v>
      </c>
      <c r="T36" s="380">
        <v>391.44740024183795</v>
      </c>
      <c r="U36" s="380">
        <v>283.00616016427102</v>
      </c>
      <c r="V36" s="630">
        <v>283.00616016427102</v>
      </c>
    </row>
    <row r="37" spans="3:22">
      <c r="C37" s="55" t="s">
        <v>617</v>
      </c>
      <c r="D37" s="21"/>
      <c r="E37" s="21" t="s">
        <v>232</v>
      </c>
      <c r="F37" s="27"/>
      <c r="H37" s="638">
        <v>144.45605700712591</v>
      </c>
      <c r="I37" s="631">
        <v>313.50403800475061</v>
      </c>
      <c r="J37" s="631">
        <v>449.79144893111641</v>
      </c>
      <c r="K37" s="631">
        <v>390.89121140142515</v>
      </c>
      <c r="L37" s="631">
        <v>427.00522565320671</v>
      </c>
      <c r="M37" s="631">
        <v>512.13111638954865</v>
      </c>
      <c r="N37" s="631">
        <v>525.28693586698341</v>
      </c>
      <c r="O37" s="631">
        <v>709.29643705463184</v>
      </c>
      <c r="P37" s="631">
        <v>687.3700712589075</v>
      </c>
      <c r="Q37" s="631">
        <v>770.34631828978615</v>
      </c>
      <c r="R37" s="631">
        <v>1067.6850356294538</v>
      </c>
      <c r="S37" s="631">
        <v>1449.2038004750596</v>
      </c>
      <c r="T37" s="631">
        <v>2167.3759697632781</v>
      </c>
      <c r="U37" s="631">
        <v>2719.6416252987683</v>
      </c>
      <c r="V37" s="632">
        <v>3270.3939650950329</v>
      </c>
    </row>
    <row r="38" spans="3:22">
      <c r="C38" s="647" t="s">
        <v>597</v>
      </c>
      <c r="D38" s="63"/>
      <c r="E38" s="17" t="s">
        <v>624</v>
      </c>
      <c r="F38" s="64"/>
      <c r="H38" s="648">
        <f>SUM(H33:H37)</f>
        <v>8956.3492374958878</v>
      </c>
      <c r="I38" s="649">
        <f t="shared" ref="I38:V38" si="1">SUM(I33:I37)</f>
        <v>8143.2521364084887</v>
      </c>
      <c r="J38" s="649">
        <f t="shared" si="1"/>
        <v>7887.3443540393801</v>
      </c>
      <c r="K38" s="649">
        <f t="shared" si="1"/>
        <v>7957.4115984554446</v>
      </c>
      <c r="L38" s="649">
        <f t="shared" si="1"/>
        <v>8180.0541799483726</v>
      </c>
      <c r="M38" s="649">
        <f t="shared" si="1"/>
        <v>8915.5974714896602</v>
      </c>
      <c r="N38" s="649">
        <f t="shared" si="1"/>
        <v>9553.4543376638776</v>
      </c>
      <c r="O38" s="649">
        <f t="shared" si="1"/>
        <v>10066.675004094885</v>
      </c>
      <c r="P38" s="649">
        <f t="shared" si="1"/>
        <v>10498.503090580523</v>
      </c>
      <c r="Q38" s="649">
        <f t="shared" si="1"/>
        <v>9089.7638504691477</v>
      </c>
      <c r="R38" s="649">
        <f t="shared" si="1"/>
        <v>10157.890156915984</v>
      </c>
      <c r="S38" s="649">
        <f t="shared" si="1"/>
        <v>8526.4506681977946</v>
      </c>
      <c r="T38" s="649">
        <f t="shared" si="1"/>
        <v>10199.922283026726</v>
      </c>
      <c r="U38" s="649">
        <f t="shared" si="1"/>
        <v>10657.86595025</v>
      </c>
      <c r="V38" s="650">
        <f t="shared" si="1"/>
        <v>10004.259865010426</v>
      </c>
    </row>
    <row r="40" spans="3:22">
      <c r="C40" s="15" t="s">
        <v>598</v>
      </c>
    </row>
    <row r="41" spans="3:22">
      <c r="C41" s="199" t="s">
        <v>1265</v>
      </c>
      <c r="D41" s="70"/>
      <c r="E41" s="70" t="s">
        <v>313</v>
      </c>
      <c r="F41" s="29"/>
      <c r="H41" s="663">
        <f>-(N38-U38)/N38</f>
        <v>0.11560338004987895</v>
      </c>
    </row>
    <row r="42" spans="3:22">
      <c r="C42" s="14" t="s">
        <v>1264</v>
      </c>
      <c r="E42" t="s">
        <v>313</v>
      </c>
      <c r="F42" s="31"/>
      <c r="H42" s="197">
        <f>-(H38-U38)/H38</f>
        <v>0.18997882592950785</v>
      </c>
    </row>
    <row r="43" spans="3:22">
      <c r="C43" s="14" t="s">
        <v>601</v>
      </c>
      <c r="E43" t="s">
        <v>602</v>
      </c>
      <c r="F43" s="31"/>
      <c r="H43" s="195">
        <f>AVERAGE(Q38:V38)</f>
        <v>9772.6921289783477</v>
      </c>
    </row>
    <row r="44" spans="3:22">
      <c r="C44" s="20" t="s">
        <v>603</v>
      </c>
      <c r="D44" s="92"/>
      <c r="E44" s="92" t="s">
        <v>602</v>
      </c>
      <c r="F44" s="33"/>
      <c r="H44" s="639">
        <f>AVERAGE(K38:Q38)</f>
        <v>9180.208504671702</v>
      </c>
    </row>
    <row r="46" spans="3:22">
      <c r="C46" s="15" t="s">
        <v>604</v>
      </c>
    </row>
    <row r="47" spans="3:22">
      <c r="C47" s="199" t="s">
        <v>1265</v>
      </c>
      <c r="D47" s="70"/>
      <c r="E47" s="70" t="s">
        <v>313</v>
      </c>
      <c r="F47" s="29"/>
      <c r="H47" s="663">
        <f>-(N34-U34)/N34</f>
        <v>-0.13025558374233773</v>
      </c>
    </row>
    <row r="48" spans="3:22">
      <c r="C48" s="14" t="s">
        <v>1264</v>
      </c>
      <c r="E48" t="s">
        <v>313</v>
      </c>
      <c r="F48" s="31"/>
      <c r="H48" s="197">
        <f>-(H34-U34)/H34</f>
        <v>-0.11115387073372646</v>
      </c>
    </row>
    <row r="49" spans="1:18">
      <c r="C49" s="14" t="s">
        <v>601</v>
      </c>
      <c r="E49" t="s">
        <v>602</v>
      </c>
      <c r="F49" s="31"/>
      <c r="H49" s="195">
        <f>AVERAGE(Q34:V34)</f>
        <v>7480.2774148419458</v>
      </c>
    </row>
    <row r="50" spans="1:18">
      <c r="C50" s="20" t="s">
        <v>603</v>
      </c>
      <c r="D50" s="92"/>
      <c r="E50" s="92" t="s">
        <v>602</v>
      </c>
      <c r="F50" s="33"/>
      <c r="H50" s="639">
        <f>AVERAGE(K34:Q34)</f>
        <v>8372.8358496061392</v>
      </c>
    </row>
    <row r="52" spans="1:18" s="8" customFormat="1" ht="21">
      <c r="C52" s="9" t="s">
        <v>611</v>
      </c>
      <c r="P52" s="10"/>
    </row>
    <row r="54" spans="1:18">
      <c r="A54" t="s">
        <v>612</v>
      </c>
      <c r="B54" s="102">
        <v>46042</v>
      </c>
      <c r="C54" s="35" t="s">
        <v>613</v>
      </c>
      <c r="F54" s="92"/>
      <c r="H54" s="15" t="s">
        <v>614</v>
      </c>
    </row>
    <row r="55" spans="1:18">
      <c r="C55" s="18" t="s">
        <v>615</v>
      </c>
      <c r="D55" s="19"/>
      <c r="E55" s="19" t="s">
        <v>503</v>
      </c>
      <c r="F55" s="24" t="s">
        <v>282</v>
      </c>
      <c r="H55" s="44">
        <v>2025</v>
      </c>
      <c r="I55" s="45">
        <v>2026</v>
      </c>
      <c r="J55" s="45">
        <v>2027</v>
      </c>
      <c r="K55" s="45">
        <v>2028</v>
      </c>
      <c r="L55" s="45">
        <v>2029</v>
      </c>
      <c r="M55" s="45">
        <v>2030</v>
      </c>
      <c r="N55" s="45">
        <v>2031</v>
      </c>
      <c r="O55" s="45">
        <v>2032</v>
      </c>
      <c r="P55" s="45">
        <v>2033</v>
      </c>
      <c r="Q55" s="45">
        <v>2034</v>
      </c>
      <c r="R55" s="46">
        <v>2035</v>
      </c>
    </row>
    <row r="56" spans="1:18">
      <c r="C56" s="194" t="s">
        <v>618</v>
      </c>
      <c r="D56" s="35"/>
      <c r="E56" s="35" t="s">
        <v>232</v>
      </c>
      <c r="F56" s="1012"/>
      <c r="H56" s="1420">
        <v>344.91686197662244</v>
      </c>
      <c r="I56" s="1421">
        <v>316.0842582592976</v>
      </c>
      <c r="J56" s="1421">
        <v>286.2632386588939</v>
      </c>
      <c r="K56" s="1421">
        <v>255.41299936136187</v>
      </c>
      <c r="L56" s="1421">
        <v>223.48170081449058</v>
      </c>
      <c r="M56" s="1421">
        <v>190.39795849169712</v>
      </c>
      <c r="N56" s="1421">
        <v>155.29619616184743</v>
      </c>
      <c r="O56" s="1421">
        <v>118.88659675069533</v>
      </c>
      <c r="P56" s="1421">
        <v>81.036096028541166</v>
      </c>
      <c r="Q56" s="1421">
        <v>41.532821718708306</v>
      </c>
      <c r="R56" s="1422">
        <v>0</v>
      </c>
    </row>
    <row r="57" spans="1:18">
      <c r="C57" s="14" t="s">
        <v>619</v>
      </c>
      <c r="D57" s="2"/>
      <c r="E57" s="2" t="s">
        <v>232</v>
      </c>
      <c r="F57" s="26"/>
      <c r="H57" s="1241">
        <v>41.795334878103475</v>
      </c>
      <c r="I57" s="1240">
        <v>32.030058549125378</v>
      </c>
      <c r="J57" s="1240">
        <v>25.170519980472097</v>
      </c>
      <c r="K57" s="1240">
        <v>20.101368180415154</v>
      </c>
      <c r="L57" s="1240">
        <v>16.213328822579118</v>
      </c>
      <c r="M57" s="1240">
        <v>10.589192175621468</v>
      </c>
      <c r="N57" s="1240">
        <v>8.4713537404971753</v>
      </c>
      <c r="O57" s="1240">
        <v>6.3535153053728806</v>
      </c>
      <c r="P57" s="1240">
        <v>4.2356768702485876</v>
      </c>
      <c r="Q57" s="1240">
        <v>2.1178384351242938</v>
      </c>
      <c r="R57" s="1242">
        <v>0</v>
      </c>
    </row>
    <row r="58" spans="1:18">
      <c r="C58" s="14" t="s">
        <v>620</v>
      </c>
      <c r="D58" s="2"/>
      <c r="E58" s="2" t="s">
        <v>232</v>
      </c>
      <c r="F58" s="26"/>
      <c r="H58" s="1241">
        <v>139.39417867706237</v>
      </c>
      <c r="I58" s="1240">
        <v>122.94719860063285</v>
      </c>
      <c r="J58" s="1240">
        <v>106.50021852420333</v>
      </c>
      <c r="K58" s="1240">
        <v>90.053238447773836</v>
      </c>
      <c r="L58" s="1240">
        <v>73.60625837134431</v>
      </c>
      <c r="M58" s="1240">
        <v>57.159278294914813</v>
      </c>
      <c r="N58" s="1240">
        <v>45.727422635931852</v>
      </c>
      <c r="O58" s="1240">
        <v>34.295566976948884</v>
      </c>
      <c r="P58" s="1240">
        <v>22.863711317965926</v>
      </c>
      <c r="Q58" s="1240">
        <v>11.431855658982963</v>
      </c>
      <c r="R58" s="1242">
        <v>0</v>
      </c>
    </row>
    <row r="59" spans="1:18">
      <c r="C59" s="20" t="s">
        <v>621</v>
      </c>
      <c r="D59" s="21"/>
      <c r="E59" s="21" t="s">
        <v>232</v>
      </c>
      <c r="F59" s="27"/>
      <c r="H59" s="1243">
        <v>197.57006033194151</v>
      </c>
      <c r="I59" s="1423">
        <v>180.76470339286308</v>
      </c>
      <c r="J59" s="1423">
        <v>163.95934645378472</v>
      </c>
      <c r="K59" s="1423">
        <v>147.15398951470632</v>
      </c>
      <c r="L59" s="1423">
        <v>130.3486325756279</v>
      </c>
      <c r="M59" s="1423">
        <v>113.54327563654952</v>
      </c>
      <c r="N59" s="1423">
        <v>90.834620509239613</v>
      </c>
      <c r="O59" s="1423">
        <v>68.125965381929731</v>
      </c>
      <c r="P59" s="1423">
        <v>45.417310254619821</v>
      </c>
      <c r="Q59" s="1423">
        <v>22.70865512730991</v>
      </c>
      <c r="R59" s="1424">
        <v>0</v>
      </c>
    </row>
    <row r="61" spans="1:18">
      <c r="A61" t="s">
        <v>1193</v>
      </c>
      <c r="B61" s="102">
        <v>46042</v>
      </c>
      <c r="C61" s="16" t="s">
        <v>622</v>
      </c>
      <c r="D61" s="17"/>
      <c r="E61" s="17" t="s">
        <v>503</v>
      </c>
      <c r="F61" s="23" t="s">
        <v>282</v>
      </c>
      <c r="H61" s="44">
        <v>2025</v>
      </c>
      <c r="I61" s="45">
        <v>2026</v>
      </c>
      <c r="J61" s="45">
        <v>2027</v>
      </c>
      <c r="K61" s="45">
        <v>2028</v>
      </c>
      <c r="L61" s="45">
        <v>2029</v>
      </c>
      <c r="M61" s="45">
        <v>2030</v>
      </c>
      <c r="N61" s="45">
        <v>2031</v>
      </c>
      <c r="O61" s="45">
        <v>2032</v>
      </c>
      <c r="P61" s="45">
        <v>2033</v>
      </c>
      <c r="Q61" s="45">
        <v>2034</v>
      </c>
      <c r="R61" s="46">
        <v>2035</v>
      </c>
    </row>
    <row r="62" spans="1:18">
      <c r="C62" s="36" t="s">
        <v>35</v>
      </c>
      <c r="D62" s="1010"/>
      <c r="E62" s="1010"/>
      <c r="F62" s="1011"/>
      <c r="H62" s="1247">
        <v>10568.368671702761</v>
      </c>
      <c r="I62" s="1248">
        <v>13479.239632972005</v>
      </c>
      <c r="J62" s="1248">
        <v>15911.543976139319</v>
      </c>
      <c r="K62" s="1248">
        <v>17865.281701204702</v>
      </c>
      <c r="L62" s="1248">
        <v>19340.452808168149</v>
      </c>
      <c r="M62" s="1248">
        <v>20337.057297029671</v>
      </c>
      <c r="N62" s="1248">
        <v>21325.988738779466</v>
      </c>
      <c r="O62" s="1248">
        <v>21715.972413599025</v>
      </c>
      <c r="P62" s="1248">
        <v>21507.008321488342</v>
      </c>
      <c r="Q62" s="1248">
        <v>20699.096462447429</v>
      </c>
      <c r="R62" s="1249">
        <v>19540.36303093009</v>
      </c>
    </row>
    <row r="63" spans="1:18">
      <c r="C63" s="14" t="s">
        <v>616</v>
      </c>
      <c r="D63" s="2"/>
      <c r="E63" s="2" t="s">
        <v>232</v>
      </c>
      <c r="F63" s="26"/>
      <c r="H63" s="1241">
        <v>4184.5217237148381</v>
      </c>
      <c r="I63" s="1240">
        <v>5095.0917600929261</v>
      </c>
      <c r="J63" s="1240">
        <v>5889.3391587079896</v>
      </c>
      <c r="K63" s="1240">
        <v>6567.2639195600286</v>
      </c>
      <c r="L63" s="1240">
        <v>7128.8660426490424</v>
      </c>
      <c r="M63" s="1240">
        <v>7574.1455279750326</v>
      </c>
      <c r="N63" s="1240">
        <v>7805.4155508780468</v>
      </c>
      <c r="O63" s="1240">
        <v>7934.1071093560304</v>
      </c>
      <c r="P63" s="1240">
        <v>7960.2202034089842</v>
      </c>
      <c r="Q63" s="1240">
        <v>7883.7548330369073</v>
      </c>
      <c r="R63" s="1242">
        <v>9377.6770500228176</v>
      </c>
    </row>
    <row r="64" spans="1:18">
      <c r="C64" s="14" t="s">
        <v>617</v>
      </c>
      <c r="D64" s="2"/>
      <c r="E64" s="2" t="s">
        <v>232</v>
      </c>
      <c r="F64" s="26"/>
      <c r="H64" s="97">
        <v>6383.8469479879232</v>
      </c>
      <c r="I64" s="332">
        <v>8384.1478728790789</v>
      </c>
      <c r="J64" s="332">
        <v>10022.20481743133</v>
      </c>
      <c r="K64" s="332">
        <v>11298.017781644674</v>
      </c>
      <c r="L64" s="332">
        <v>12211.586765519107</v>
      </c>
      <c r="M64" s="332">
        <v>12762.911769054639</v>
      </c>
      <c r="N64" s="332">
        <v>13520.57318790142</v>
      </c>
      <c r="O64" s="332">
        <v>13781.865304242994</v>
      </c>
      <c r="P64" s="332">
        <v>13546.788118079359</v>
      </c>
      <c r="Q64" s="332">
        <v>12815.341629410523</v>
      </c>
      <c r="R64" s="459">
        <v>10162.685980907272</v>
      </c>
    </row>
    <row r="65" spans="1:18">
      <c r="C65" s="194" t="s">
        <v>618</v>
      </c>
      <c r="D65" s="35"/>
      <c r="E65" s="35" t="s">
        <v>232</v>
      </c>
      <c r="F65" s="1012"/>
      <c r="H65" s="1250">
        <v>12537.113825819102</v>
      </c>
      <c r="I65" s="1251">
        <v>11200.169873821447</v>
      </c>
      <c r="J65" s="1251">
        <v>9921.6173459475685</v>
      </c>
      <c r="K65" s="1251">
        <v>8679.0430245650496</v>
      </c>
      <c r="L65" s="1251">
        <v>7460.2034112808542</v>
      </c>
      <c r="M65" s="1251">
        <v>6206.4765502507007</v>
      </c>
      <c r="N65" s="1251">
        <v>4965.1812402005608</v>
      </c>
      <c r="O65" s="1251">
        <v>3723.8859301504208</v>
      </c>
      <c r="P65" s="1251">
        <v>2482.5906201002808</v>
      </c>
      <c r="Q65" s="1251">
        <v>1241.2953100501404</v>
      </c>
      <c r="R65" s="1252">
        <v>0</v>
      </c>
    </row>
    <row r="66" spans="1:18">
      <c r="C66" s="14" t="s">
        <v>619</v>
      </c>
      <c r="D66" s="2"/>
      <c r="E66" s="2" t="s">
        <v>232</v>
      </c>
      <c r="F66" s="26"/>
      <c r="H66" s="1241">
        <v>839.88622737578112</v>
      </c>
      <c r="I66" s="1240">
        <v>643.65090304717273</v>
      </c>
      <c r="J66" s="1240">
        <v>505.80700284233973</v>
      </c>
      <c r="K66" s="1240">
        <v>403.94130912886556</v>
      </c>
      <c r="L66" s="1240">
        <v>325.81032351371601</v>
      </c>
      <c r="M66" s="1240">
        <v>212.79209015260844</v>
      </c>
      <c r="N66" s="1240">
        <v>170.23367212208677</v>
      </c>
      <c r="O66" s="1240">
        <v>127.67525409156507</v>
      </c>
      <c r="P66" s="1240">
        <v>85.116836061043387</v>
      </c>
      <c r="Q66" s="1240">
        <v>42.558418030521693</v>
      </c>
      <c r="R66" s="1242">
        <v>0</v>
      </c>
    </row>
    <row r="67" spans="1:18">
      <c r="C67" s="14" t="s">
        <v>620</v>
      </c>
      <c r="D67" s="2"/>
      <c r="E67" s="2" t="s">
        <v>232</v>
      </c>
      <c r="F67" s="26"/>
      <c r="H67" s="97">
        <v>4425.9068173861251</v>
      </c>
      <c r="I67" s="332">
        <v>3903.6984874792938</v>
      </c>
      <c r="J67" s="332">
        <v>3381.4901575724625</v>
      </c>
      <c r="K67" s="332">
        <v>2859.2818276656317</v>
      </c>
      <c r="L67" s="332">
        <v>2337.0734977588004</v>
      </c>
      <c r="M67" s="332">
        <v>1814.8651678519695</v>
      </c>
      <c r="N67" s="332">
        <v>1451.8921342815756</v>
      </c>
      <c r="O67" s="332">
        <v>1088.9191007111817</v>
      </c>
      <c r="P67" s="332">
        <v>725.94606714078782</v>
      </c>
      <c r="Q67" s="332">
        <v>362.97303357039391</v>
      </c>
      <c r="R67" s="459">
        <v>0</v>
      </c>
    </row>
    <row r="68" spans="1:18">
      <c r="C68" s="20" t="s">
        <v>621</v>
      </c>
      <c r="D68" s="21"/>
      <c r="E68" s="21" t="s">
        <v>232</v>
      </c>
      <c r="F68" s="27"/>
      <c r="H68" s="99">
        <v>7271.3207810571957</v>
      </c>
      <c r="I68" s="1093">
        <v>6652.8204832949805</v>
      </c>
      <c r="J68" s="1093">
        <v>6034.3201855327661</v>
      </c>
      <c r="K68" s="1093">
        <v>5415.8198877705518</v>
      </c>
      <c r="L68" s="1093">
        <v>4797.3195900083374</v>
      </c>
      <c r="M68" s="1093">
        <v>4178.819292246123</v>
      </c>
      <c r="N68" s="1093">
        <v>3343.0554337968983</v>
      </c>
      <c r="O68" s="1093">
        <v>2507.2915753476741</v>
      </c>
      <c r="P68" s="1093">
        <v>1671.5277168984496</v>
      </c>
      <c r="Q68" s="1093">
        <v>835.76385844922481</v>
      </c>
      <c r="R68" s="1094">
        <v>0</v>
      </c>
    </row>
    <row r="69" spans="1:18">
      <c r="C69" s="299" t="s">
        <v>1199</v>
      </c>
      <c r="D69" s="63"/>
      <c r="E69" s="63"/>
      <c r="F69" s="64"/>
      <c r="H69" s="91">
        <v>23105.482497521865</v>
      </c>
      <c r="I69" s="92">
        <v>24679.409506793454</v>
      </c>
      <c r="J69" s="92">
        <v>25833.161322086889</v>
      </c>
      <c r="K69" s="92">
        <v>26544.324725769751</v>
      </c>
      <c r="L69" s="92">
        <v>26800.656219449003</v>
      </c>
      <c r="M69" s="92">
        <v>26543.533847280371</v>
      </c>
      <c r="N69" s="92">
        <v>26291.169978980026</v>
      </c>
      <c r="O69" s="92">
        <v>25439.858343749445</v>
      </c>
      <c r="P69" s="92">
        <v>23989.598941588622</v>
      </c>
      <c r="Q69" s="92">
        <v>21940.391772497569</v>
      </c>
      <c r="R69" s="33">
        <v>19540.36303093009</v>
      </c>
    </row>
    <row r="70" spans="1:18">
      <c r="C70" s="199" t="s">
        <v>1200</v>
      </c>
      <c r="D70" s="70"/>
      <c r="E70" s="70"/>
      <c r="F70" s="29"/>
      <c r="H70" s="1244">
        <v>9450.3147684767446</v>
      </c>
      <c r="I70" s="1245">
        <v>9642.4411506193919</v>
      </c>
      <c r="J70" s="1245">
        <v>9776.636319122792</v>
      </c>
      <c r="K70" s="1245">
        <v>9830.4870563545264</v>
      </c>
      <c r="L70" s="1245">
        <v>9791.7498639215592</v>
      </c>
      <c r="M70" s="1245">
        <v>9601.8027859796111</v>
      </c>
      <c r="N70" s="1245">
        <v>9427.5413572817088</v>
      </c>
      <c r="O70" s="1245">
        <v>9150.7014641587775</v>
      </c>
      <c r="P70" s="1245">
        <v>8771.2831066108156</v>
      </c>
      <c r="Q70" s="1245">
        <v>8289.286284637823</v>
      </c>
      <c r="R70" s="1246">
        <v>9377.6770500228176</v>
      </c>
    </row>
    <row r="71" spans="1:18">
      <c r="C71" s="20" t="s">
        <v>1201</v>
      </c>
      <c r="D71" s="92"/>
      <c r="E71" s="92"/>
      <c r="F71" s="33"/>
      <c r="H71" s="91">
        <v>13655.167729045119</v>
      </c>
      <c r="I71" s="92">
        <v>15036.96835617406</v>
      </c>
      <c r="J71" s="92">
        <v>16056.525002964096</v>
      </c>
      <c r="K71" s="92">
        <v>16713.837669415225</v>
      </c>
      <c r="L71" s="92">
        <v>17008.906355527444</v>
      </c>
      <c r="M71" s="92">
        <v>16941.731061300761</v>
      </c>
      <c r="N71" s="92">
        <v>16863.628621698317</v>
      </c>
      <c r="O71" s="92">
        <v>16289.156879590668</v>
      </c>
      <c r="P71" s="92">
        <v>15218.31583497781</v>
      </c>
      <c r="Q71" s="92">
        <v>13651.105487859748</v>
      </c>
      <c r="R71" s="33">
        <v>10162.685980907272</v>
      </c>
    </row>
    <row r="73" spans="1:18">
      <c r="A73" t="s">
        <v>1198</v>
      </c>
      <c r="B73" s="102">
        <v>46042</v>
      </c>
      <c r="C73" s="36" t="s">
        <v>1194</v>
      </c>
      <c r="D73" s="19"/>
      <c r="E73" s="19" t="s">
        <v>503</v>
      </c>
      <c r="F73" s="24" t="s">
        <v>282</v>
      </c>
      <c r="H73" s="111"/>
      <c r="I73" s="153"/>
      <c r="J73" s="153"/>
      <c r="K73" s="153"/>
      <c r="L73" s="153"/>
      <c r="M73" s="153"/>
      <c r="N73" s="153"/>
      <c r="O73" s="153"/>
      <c r="P73" s="153"/>
      <c r="Q73" s="153"/>
      <c r="R73" s="153"/>
    </row>
    <row r="74" spans="1:18">
      <c r="C74" s="36" t="s">
        <v>1195</v>
      </c>
      <c r="D74" s="19"/>
      <c r="E74" s="19" t="s">
        <v>1206</v>
      </c>
      <c r="F74" s="24"/>
      <c r="H74" s="88">
        <v>34.990441783005558</v>
      </c>
    </row>
    <row r="75" spans="1:18">
      <c r="C75" s="72" t="s">
        <v>437</v>
      </c>
      <c r="D75" s="2"/>
      <c r="E75" s="286" t="s">
        <v>232</v>
      </c>
      <c r="F75" s="31"/>
      <c r="H75" s="89">
        <v>29.803281077401774</v>
      </c>
    </row>
    <row r="76" spans="1:18">
      <c r="C76" s="72" t="s">
        <v>669</v>
      </c>
      <c r="D76" s="2"/>
      <c r="E76" s="286" t="s">
        <v>232</v>
      </c>
      <c r="F76" s="31"/>
      <c r="H76" s="89">
        <v>33.186828940046126</v>
      </c>
    </row>
    <row r="77" spans="1:18">
      <c r="C77" s="72" t="s">
        <v>590</v>
      </c>
      <c r="D77" s="2"/>
      <c r="E77" s="286" t="s">
        <v>232</v>
      </c>
      <c r="F77" s="31"/>
      <c r="H77" s="89">
        <v>49.76309113758505</v>
      </c>
    </row>
    <row r="78" spans="1:18">
      <c r="C78" s="72" t="s">
        <v>587</v>
      </c>
      <c r="D78" s="2"/>
      <c r="E78" s="286" t="s">
        <v>232</v>
      </c>
      <c r="F78" s="31"/>
      <c r="H78" s="89">
        <v>43.971050773845725</v>
      </c>
    </row>
    <row r="79" spans="1:18">
      <c r="C79" s="72" t="s">
        <v>670</v>
      </c>
      <c r="D79" s="2"/>
      <c r="E79" s="286" t="s">
        <v>232</v>
      </c>
      <c r="F79" s="31"/>
      <c r="H79" s="89">
        <v>89.094544691882788</v>
      </c>
    </row>
    <row r="80" spans="1:18">
      <c r="C80" s="278" t="s">
        <v>1196</v>
      </c>
      <c r="D80" s="21"/>
      <c r="E80" s="287" t="s">
        <v>232</v>
      </c>
      <c r="F80" s="33"/>
      <c r="H80" s="90">
        <v>27.009450000000001</v>
      </c>
    </row>
    <row r="81" spans="3:8">
      <c r="C81" s="36" t="s">
        <v>1197</v>
      </c>
      <c r="D81" s="19"/>
      <c r="E81" s="19" t="s">
        <v>1206</v>
      </c>
      <c r="F81" s="24"/>
      <c r="H81" s="89">
        <v>28.072002688229251</v>
      </c>
    </row>
    <row r="82" spans="3:8">
      <c r="C82" s="72" t="s">
        <v>437</v>
      </c>
      <c r="D82" s="2"/>
      <c r="E82" s="286" t="s">
        <v>232</v>
      </c>
      <c r="F82" s="31"/>
      <c r="H82" s="89">
        <v>27.171137992789298</v>
      </c>
    </row>
    <row r="83" spans="3:8">
      <c r="C83" s="72" t="s">
        <v>669</v>
      </c>
      <c r="D83" s="2"/>
      <c r="E83" s="286" t="s">
        <v>232</v>
      </c>
      <c r="F83" s="31"/>
      <c r="H83" s="89">
        <v>27.171137992789298</v>
      </c>
    </row>
    <row r="84" spans="3:8">
      <c r="C84" s="72" t="s">
        <v>590</v>
      </c>
      <c r="D84" s="2"/>
      <c r="E84" s="286" t="s">
        <v>232</v>
      </c>
      <c r="F84" s="31"/>
      <c r="H84" s="89">
        <v>53.936405230390655</v>
      </c>
    </row>
    <row r="85" spans="3:8">
      <c r="C85" s="72" t="s">
        <v>587</v>
      </c>
      <c r="D85" s="2"/>
      <c r="E85" s="286" t="s">
        <v>232</v>
      </c>
      <c r="F85" s="31"/>
      <c r="H85" s="89">
        <v>33.644798179130021</v>
      </c>
    </row>
    <row r="86" spans="3:8">
      <c r="C86" s="72" t="s">
        <v>670</v>
      </c>
      <c r="D86" s="2"/>
      <c r="E86" s="286" t="s">
        <v>232</v>
      </c>
      <c r="F86" s="31"/>
      <c r="H86" s="89">
        <v>115.63903092857144</v>
      </c>
    </row>
    <row r="87" spans="3:8">
      <c r="C87" s="278" t="s">
        <v>671</v>
      </c>
      <c r="D87" s="21"/>
      <c r="E87" s="287" t="s">
        <v>232</v>
      </c>
      <c r="F87" s="33"/>
      <c r="H87" s="90">
        <v>29.98043307677662</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2B29B-A143-4E66-AF3D-AE007377BE64}">
  <dimension ref="A1:W113"/>
  <sheetViews>
    <sheetView topLeftCell="A89" zoomScale="55" workbookViewId="0">
      <selection activeCell="C114" sqref="C114"/>
    </sheetView>
  </sheetViews>
  <sheetFormatPr baseColWidth="10" defaultColWidth="11.453125" defaultRowHeight="14.5"/>
  <cols>
    <col min="1" max="1" width="22" customWidth="1"/>
    <col min="2" max="2" width="14.1796875" customWidth="1"/>
    <col min="6" max="7" width="21.453125" customWidth="1"/>
    <col min="8" max="8" width="14.453125" customWidth="1"/>
    <col min="9" max="9" width="13.81640625" customWidth="1"/>
    <col min="10" max="10" width="15.1796875" customWidth="1"/>
    <col min="11" max="11" width="13.81640625" customWidth="1"/>
    <col min="12" max="12" width="12.1796875" customWidth="1"/>
    <col min="14" max="20" width="13.453125" bestFit="1" customWidth="1"/>
  </cols>
  <sheetData>
    <row r="1" spans="1:20" ht="21">
      <c r="A1" s="95" t="s">
        <v>264</v>
      </c>
      <c r="B1" s="95" t="s">
        <v>265</v>
      </c>
      <c r="C1" s="1" t="s">
        <v>240</v>
      </c>
      <c r="H1" s="150">
        <v>2011</v>
      </c>
      <c r="I1" s="151">
        <v>2012</v>
      </c>
      <c r="J1" s="151">
        <v>2013</v>
      </c>
      <c r="K1" s="151">
        <v>2014</v>
      </c>
      <c r="L1" s="151">
        <v>2015</v>
      </c>
      <c r="M1" s="151">
        <v>2016</v>
      </c>
      <c r="N1" s="151">
        <v>2017</v>
      </c>
      <c r="O1" s="151">
        <v>2018</v>
      </c>
      <c r="P1" s="151">
        <v>2019</v>
      </c>
      <c r="Q1" s="151">
        <v>2020</v>
      </c>
      <c r="R1" s="151">
        <v>2021</v>
      </c>
      <c r="S1" s="151">
        <v>2022</v>
      </c>
      <c r="T1" s="152">
        <v>2023</v>
      </c>
    </row>
    <row r="2" spans="1:20">
      <c r="M2" s="2"/>
      <c r="N2" s="3" t="s">
        <v>579</v>
      </c>
      <c r="O2" s="4"/>
      <c r="P2" s="4"/>
      <c r="Q2" s="4"/>
      <c r="R2" s="4"/>
      <c r="S2" s="4"/>
      <c r="T2" s="5"/>
    </row>
    <row r="4" spans="1:20">
      <c r="N4" s="6" t="s">
        <v>579</v>
      </c>
      <c r="O4" s="6" t="s">
        <v>579</v>
      </c>
      <c r="P4" s="6" t="s">
        <v>579</v>
      </c>
      <c r="Q4" s="6" t="s">
        <v>579</v>
      </c>
      <c r="R4" s="6" t="s">
        <v>579</v>
      </c>
      <c r="S4" s="6" t="s">
        <v>579</v>
      </c>
      <c r="T4" s="6" t="s">
        <v>579</v>
      </c>
    </row>
    <row r="5" spans="1:20">
      <c r="C5" s="7" t="s">
        <v>267</v>
      </c>
    </row>
    <row r="6" spans="1:20">
      <c r="C6" t="s">
        <v>672</v>
      </c>
    </row>
    <row r="7" spans="1:20">
      <c r="C7" s="7"/>
    </row>
    <row r="8" spans="1:20">
      <c r="C8" s="7" t="s">
        <v>269</v>
      </c>
    </row>
    <row r="9" spans="1:20">
      <c r="C9" s="7"/>
    </row>
    <row r="10" spans="1:20">
      <c r="C10" s="7"/>
    </row>
    <row r="11" spans="1:20">
      <c r="C11" s="7"/>
    </row>
    <row r="12" spans="1:20">
      <c r="C12" s="7"/>
    </row>
    <row r="13" spans="1:20">
      <c r="C13" s="7"/>
    </row>
    <row r="14" spans="1:20">
      <c r="C14" s="7"/>
    </row>
    <row r="15" spans="1:20">
      <c r="C15" s="7"/>
    </row>
    <row r="16" spans="1:20">
      <c r="C16" s="7"/>
    </row>
    <row r="17" spans="1:23">
      <c r="C17" s="7"/>
    </row>
    <row r="20" spans="1:23" s="8" customFormat="1" ht="21">
      <c r="C20" s="9" t="s">
        <v>582</v>
      </c>
      <c r="P20" s="10"/>
    </row>
    <row r="22" spans="1:23">
      <c r="C22" s="7" t="s">
        <v>272</v>
      </c>
    </row>
    <row r="24" spans="1:23">
      <c r="C24" s="96" t="s">
        <v>673</v>
      </c>
    </row>
    <row r="25" spans="1:23" ht="21">
      <c r="C25" s="52"/>
    </row>
    <row r="26" spans="1:23">
      <c r="C26" s="7" t="s">
        <v>277</v>
      </c>
    </row>
    <row r="27" spans="1:23">
      <c r="C27" s="7"/>
    </row>
    <row r="28" spans="1:23">
      <c r="A28" t="s">
        <v>674</v>
      </c>
      <c r="C28" s="35" t="s">
        <v>675</v>
      </c>
      <c r="U28" s="332"/>
      <c r="V28" s="332"/>
      <c r="W28" s="332"/>
    </row>
    <row r="29" spans="1:23">
      <c r="C29" s="18"/>
      <c r="D29" s="19"/>
      <c r="E29" s="19" t="s">
        <v>281</v>
      </c>
      <c r="F29" s="24" t="s">
        <v>282</v>
      </c>
      <c r="H29" s="154">
        <v>2011</v>
      </c>
      <c r="I29" s="155">
        <v>2012</v>
      </c>
      <c r="J29" s="155">
        <v>2013</v>
      </c>
      <c r="K29" s="155">
        <v>2014</v>
      </c>
      <c r="L29" s="155">
        <v>2015</v>
      </c>
      <c r="M29" s="155">
        <v>2016</v>
      </c>
      <c r="N29" s="12">
        <v>2017</v>
      </c>
      <c r="O29" s="12">
        <v>2018</v>
      </c>
      <c r="P29" s="12">
        <v>2019</v>
      </c>
      <c r="Q29" s="12">
        <v>2020</v>
      </c>
      <c r="R29" s="12">
        <v>2021</v>
      </c>
      <c r="S29" s="12">
        <v>2022</v>
      </c>
      <c r="T29" s="13">
        <v>2023</v>
      </c>
      <c r="U29" s="332"/>
      <c r="V29" s="332"/>
      <c r="W29" s="332"/>
    </row>
    <row r="30" spans="1:23">
      <c r="C30" s="36" t="s">
        <v>676</v>
      </c>
      <c r="D30" s="19"/>
      <c r="E30" s="19" t="s">
        <v>677</v>
      </c>
      <c r="F30" s="24" t="s">
        <v>287</v>
      </c>
      <c r="H30" s="890"/>
      <c r="I30" s="890"/>
      <c r="J30" s="890"/>
      <c r="K30" s="890"/>
      <c r="L30" s="891">
        <v>2227</v>
      </c>
      <c r="M30" s="891">
        <v>2488</v>
      </c>
      <c r="N30" s="890"/>
      <c r="O30" s="890"/>
      <c r="P30" s="890"/>
      <c r="Q30" s="890"/>
      <c r="R30" s="891">
        <v>2900</v>
      </c>
      <c r="S30" s="891">
        <v>2800</v>
      </c>
      <c r="T30" s="891">
        <f>3400</f>
        <v>3400</v>
      </c>
      <c r="U30" s="869"/>
      <c r="V30" s="869"/>
      <c r="W30" s="332"/>
    </row>
    <row r="31" spans="1:23">
      <c r="C31" s="72" t="s">
        <v>678</v>
      </c>
      <c r="D31" s="2"/>
      <c r="E31" s="2" t="s">
        <v>232</v>
      </c>
      <c r="F31" s="26" t="s">
        <v>232</v>
      </c>
      <c r="H31" s="888"/>
      <c r="I31" s="888"/>
      <c r="J31" s="888"/>
      <c r="K31" s="888"/>
      <c r="L31" s="888"/>
      <c r="M31" s="888"/>
      <c r="N31" s="888"/>
      <c r="O31" s="889"/>
      <c r="P31" s="889"/>
      <c r="Q31" s="888">
        <v>866</v>
      </c>
      <c r="R31" s="888">
        <v>1382</v>
      </c>
      <c r="S31" s="888">
        <v>1092</v>
      </c>
      <c r="T31" s="888">
        <v>1209</v>
      </c>
      <c r="U31" s="870"/>
      <c r="V31" s="870"/>
      <c r="W31" s="332"/>
    </row>
    <row r="32" spans="1:23">
      <c r="C32" s="72" t="s">
        <v>679</v>
      </c>
      <c r="D32" s="2"/>
      <c r="E32" s="2" t="s">
        <v>232</v>
      </c>
      <c r="F32" s="26" t="s">
        <v>232</v>
      </c>
      <c r="H32" s="888"/>
      <c r="I32" s="888"/>
      <c r="J32" s="888"/>
      <c r="K32" s="888"/>
      <c r="L32" s="888"/>
      <c r="M32" s="888"/>
      <c r="N32" s="888"/>
      <c r="O32" s="889"/>
      <c r="P32" s="889"/>
      <c r="Q32" s="888">
        <v>519</v>
      </c>
      <c r="R32" s="888">
        <v>650</v>
      </c>
      <c r="S32" s="888">
        <v>921</v>
      </c>
      <c r="T32" s="888">
        <v>1258</v>
      </c>
      <c r="U32" s="870"/>
      <c r="V32" s="870"/>
      <c r="W32" s="332"/>
    </row>
    <row r="33" spans="3:23">
      <c r="C33" s="886" t="s">
        <v>680</v>
      </c>
      <c r="D33" s="871"/>
      <c r="E33" s="871" t="s">
        <v>232</v>
      </c>
      <c r="F33" s="887" t="s">
        <v>232</v>
      </c>
      <c r="G33" s="332"/>
      <c r="H33" s="888"/>
      <c r="I33" s="888"/>
      <c r="J33" s="888"/>
      <c r="K33" s="888"/>
      <c r="L33" s="888"/>
      <c r="M33" s="888"/>
      <c r="N33" s="888"/>
      <c r="O33" s="888">
        <v>1284</v>
      </c>
      <c r="P33" s="888">
        <v>1695</v>
      </c>
      <c r="Q33" s="889"/>
      <c r="R33" s="889"/>
      <c r="S33" s="889"/>
      <c r="T33" s="888"/>
      <c r="U33" s="870"/>
      <c r="V33" s="870"/>
      <c r="W33" s="332"/>
    </row>
    <row r="34" spans="3:23">
      <c r="C34" s="72" t="s">
        <v>681</v>
      </c>
      <c r="D34" s="2"/>
      <c r="E34" s="2" t="s">
        <v>232</v>
      </c>
      <c r="F34" s="26" t="s">
        <v>232</v>
      </c>
      <c r="H34" s="888"/>
      <c r="I34" s="888"/>
      <c r="J34" s="888"/>
      <c r="K34" s="888"/>
      <c r="L34" s="888"/>
      <c r="M34" s="888"/>
      <c r="N34" s="888">
        <v>1551</v>
      </c>
      <c r="O34" s="889"/>
      <c r="P34" s="889"/>
      <c r="Q34" s="889"/>
      <c r="R34" s="889"/>
      <c r="S34" s="889"/>
      <c r="T34" s="888"/>
      <c r="U34" s="870"/>
      <c r="V34" s="870"/>
      <c r="W34" s="332"/>
    </row>
    <row r="35" spans="3:23">
      <c r="C35" s="72" t="s">
        <v>682</v>
      </c>
      <c r="D35" s="2"/>
      <c r="E35" s="2" t="s">
        <v>232</v>
      </c>
      <c r="F35" s="26" t="s">
        <v>232</v>
      </c>
      <c r="H35" s="888"/>
      <c r="I35" s="888"/>
      <c r="J35" s="888"/>
      <c r="K35" s="888"/>
      <c r="L35" s="888"/>
      <c r="M35" s="888"/>
      <c r="N35" s="888"/>
      <c r="O35" s="889"/>
      <c r="P35" s="889"/>
      <c r="Q35" s="608"/>
      <c r="R35" s="888">
        <v>776</v>
      </c>
      <c r="S35" s="888">
        <v>661</v>
      </c>
      <c r="T35" s="888">
        <v>700</v>
      </c>
      <c r="U35" s="870"/>
      <c r="V35" s="870"/>
      <c r="W35" s="332"/>
    </row>
    <row r="36" spans="3:23">
      <c r="C36" s="72" t="s">
        <v>683</v>
      </c>
      <c r="D36" s="2"/>
      <c r="E36" s="2" t="s">
        <v>232</v>
      </c>
      <c r="F36" s="26" t="s">
        <v>232</v>
      </c>
      <c r="H36" s="888"/>
      <c r="I36" s="888"/>
      <c r="J36" s="888"/>
      <c r="K36" s="888"/>
      <c r="L36" s="888"/>
      <c r="M36" s="888"/>
      <c r="N36" s="888">
        <v>799</v>
      </c>
      <c r="O36" s="888">
        <v>886</v>
      </c>
      <c r="P36" s="888">
        <v>806</v>
      </c>
      <c r="Q36" s="888">
        <v>720</v>
      </c>
      <c r="R36" s="889"/>
      <c r="S36" s="889"/>
      <c r="T36" s="888"/>
      <c r="U36" s="870"/>
      <c r="V36" s="870"/>
      <c r="W36" s="332"/>
    </row>
    <row r="37" spans="3:23">
      <c r="C37" s="886" t="s">
        <v>684</v>
      </c>
      <c r="D37" s="871"/>
      <c r="E37" s="871" t="s">
        <v>232</v>
      </c>
      <c r="F37" s="887" t="s">
        <v>232</v>
      </c>
      <c r="G37" s="332"/>
      <c r="H37" s="888"/>
      <c r="I37" s="888"/>
      <c r="J37" s="888"/>
      <c r="K37" s="888"/>
      <c r="L37" s="888"/>
      <c r="M37" s="888"/>
      <c r="N37" s="888"/>
      <c r="O37" s="888">
        <v>181</v>
      </c>
      <c r="P37" s="888">
        <v>308</v>
      </c>
      <c r="Q37" s="889"/>
      <c r="R37" s="889"/>
      <c r="S37" s="889"/>
      <c r="T37" s="888"/>
      <c r="U37" s="870"/>
      <c r="V37" s="870"/>
      <c r="W37" s="332"/>
    </row>
    <row r="38" spans="3:23">
      <c r="C38" s="72" t="s">
        <v>685</v>
      </c>
      <c r="D38" s="2"/>
      <c r="E38" s="2" t="s">
        <v>232</v>
      </c>
      <c r="F38" s="26" t="s">
        <v>232</v>
      </c>
      <c r="H38" s="888"/>
      <c r="I38" s="888"/>
      <c r="J38" s="888"/>
      <c r="K38" s="888"/>
      <c r="L38" s="888"/>
      <c r="M38" s="888"/>
      <c r="N38" s="888"/>
      <c r="O38" s="888"/>
      <c r="P38" s="888"/>
      <c r="Q38" s="888">
        <v>88</v>
      </c>
      <c r="R38" s="888">
        <v>97</v>
      </c>
      <c r="S38" s="888">
        <v>144</v>
      </c>
      <c r="T38" s="888">
        <v>161</v>
      </c>
      <c r="U38" s="870"/>
      <c r="V38" s="870"/>
      <c r="W38" s="332"/>
    </row>
    <row r="39" spans="3:23">
      <c r="C39" s="72" t="s">
        <v>416</v>
      </c>
      <c r="D39" s="2"/>
      <c r="E39" s="2" t="s">
        <v>232</v>
      </c>
      <c r="F39" s="26" t="s">
        <v>232</v>
      </c>
      <c r="H39" s="892"/>
      <c r="I39" s="892"/>
      <c r="J39" s="892"/>
      <c r="K39" s="892"/>
      <c r="L39" s="892"/>
      <c r="M39" s="892"/>
      <c r="N39" s="892"/>
      <c r="O39" s="892"/>
      <c r="P39" s="892"/>
      <c r="Q39" s="892">
        <v>53</v>
      </c>
      <c r="R39" s="892">
        <v>37</v>
      </c>
      <c r="S39" s="892">
        <v>20</v>
      </c>
      <c r="T39" s="892">
        <v>43</v>
      </c>
      <c r="U39" s="870"/>
      <c r="V39" s="870"/>
      <c r="W39" s="332"/>
    </row>
    <row r="40" spans="3:23">
      <c r="C40" s="74" t="s">
        <v>686</v>
      </c>
      <c r="D40" s="75"/>
      <c r="E40" s="75"/>
      <c r="F40" s="23"/>
      <c r="H40" s="893"/>
      <c r="I40" s="893">
        <f>SUM(I31,I32,I35)</f>
        <v>0</v>
      </c>
      <c r="J40" s="893">
        <f>SUM(J31,J32,J35)</f>
        <v>0</v>
      </c>
      <c r="K40" s="893">
        <f>SUM(K31,K32,K35)</f>
        <v>0</v>
      </c>
      <c r="L40" s="893">
        <f>L30</f>
        <v>2227</v>
      </c>
      <c r="M40" s="893">
        <f>M30</f>
        <v>2488</v>
      </c>
      <c r="N40" s="893">
        <f>SUM(N34,N36)</f>
        <v>2350</v>
      </c>
      <c r="O40" s="893">
        <f>SUM(O33,O36,O37)</f>
        <v>2351</v>
      </c>
      <c r="P40" s="893">
        <f>SUM(P33,P36:P37)</f>
        <v>2809</v>
      </c>
      <c r="Q40" s="893">
        <f>SUM(Q31,Q32,Q36,Q38:Q39)</f>
        <v>2246</v>
      </c>
      <c r="R40" s="893">
        <f>SUM(R31,R32,R35,R38:R39)</f>
        <v>2942</v>
      </c>
      <c r="S40" s="893">
        <f>SUM(S31,S32,S35,S38:S39)</f>
        <v>2838</v>
      </c>
      <c r="T40" s="893">
        <f>SUM(T31,T32,T35,T38:T39)</f>
        <v>3371</v>
      </c>
      <c r="U40" s="869"/>
      <c r="V40" s="869"/>
      <c r="W40" s="332"/>
    </row>
    <row r="41" spans="3:23">
      <c r="C41" s="16" t="s">
        <v>687</v>
      </c>
      <c r="D41" s="75"/>
      <c r="E41" s="75"/>
      <c r="F41" s="23" t="s">
        <v>329</v>
      </c>
      <c r="H41" s="894"/>
      <c r="I41" s="895"/>
      <c r="J41" s="895"/>
      <c r="K41" s="895"/>
      <c r="L41" s="893">
        <v>324</v>
      </c>
      <c r="M41" s="893">
        <v>385</v>
      </c>
      <c r="N41" s="893">
        <v>418</v>
      </c>
      <c r="O41" s="893">
        <v>435</v>
      </c>
      <c r="P41" s="893">
        <v>465</v>
      </c>
      <c r="Q41" s="893">
        <v>58</v>
      </c>
      <c r="R41" s="893">
        <v>74</v>
      </c>
      <c r="S41" s="893">
        <v>85</v>
      </c>
      <c r="T41" s="893">
        <v>50</v>
      </c>
      <c r="U41" s="870"/>
      <c r="V41" s="870"/>
      <c r="W41" s="332"/>
    </row>
    <row r="42" spans="3:23">
      <c r="C42" s="16" t="s">
        <v>688</v>
      </c>
      <c r="D42" s="39"/>
      <c r="E42" s="39"/>
      <c r="F42" s="23" t="s">
        <v>232</v>
      </c>
      <c r="H42" s="894"/>
      <c r="I42" s="895"/>
      <c r="J42" s="895"/>
      <c r="K42" s="895"/>
      <c r="L42" s="895"/>
      <c r="M42" s="895"/>
      <c r="N42" s="895"/>
      <c r="O42" s="895"/>
      <c r="P42" s="895"/>
      <c r="Q42" s="892">
        <v>241</v>
      </c>
      <c r="R42" s="892">
        <v>246</v>
      </c>
      <c r="S42" s="892">
        <v>0</v>
      </c>
      <c r="T42" s="896"/>
      <c r="U42" s="871"/>
      <c r="V42" s="871"/>
      <c r="W42" s="332"/>
    </row>
    <row r="43" spans="3:23">
      <c r="C43" s="16" t="s">
        <v>689</v>
      </c>
      <c r="D43" s="39"/>
      <c r="E43" s="39"/>
      <c r="F43" s="23" t="s">
        <v>289</v>
      </c>
      <c r="H43" s="894"/>
      <c r="I43" s="895"/>
      <c r="J43" s="895"/>
      <c r="K43" s="895"/>
      <c r="L43" s="895"/>
      <c r="M43" s="897">
        <v>3400</v>
      </c>
      <c r="N43" s="897">
        <v>3600</v>
      </c>
      <c r="O43" s="897">
        <v>3700</v>
      </c>
      <c r="P43" s="897"/>
      <c r="Q43" s="896"/>
      <c r="R43" s="896"/>
      <c r="S43" s="896"/>
      <c r="T43" s="896"/>
      <c r="U43" s="872"/>
      <c r="V43" s="872"/>
      <c r="W43" s="332"/>
    </row>
    <row r="44" spans="3:23">
      <c r="C44" s="16" t="s">
        <v>690</v>
      </c>
      <c r="D44" s="17"/>
      <c r="E44" s="17"/>
      <c r="F44" s="27" t="s">
        <v>232</v>
      </c>
      <c r="H44" s="894"/>
      <c r="I44" s="894"/>
      <c r="J44" s="894"/>
      <c r="K44" s="894"/>
      <c r="L44" s="894"/>
      <c r="M44" s="894">
        <f>M43*50%</f>
        <v>1700</v>
      </c>
      <c r="N44" s="894">
        <f>N43*2/3</f>
        <v>2400</v>
      </c>
      <c r="O44" s="894">
        <f>O43*60%</f>
        <v>2220</v>
      </c>
      <c r="P44" s="895"/>
      <c r="Q44" s="895"/>
      <c r="R44" s="895"/>
      <c r="S44" s="895"/>
      <c r="T44" s="895"/>
      <c r="U44" s="871"/>
      <c r="V44" s="871"/>
      <c r="W44" s="332"/>
    </row>
    <row r="45" spans="3:23">
      <c r="C45" s="2" t="s">
        <v>691</v>
      </c>
      <c r="D45" s="35"/>
      <c r="E45" s="35"/>
      <c r="F45" s="2"/>
      <c r="U45" s="332"/>
      <c r="V45" s="332"/>
      <c r="W45" s="332"/>
    </row>
    <row r="46" spans="3:23">
      <c r="C46" s="2" t="s">
        <v>692</v>
      </c>
      <c r="D46" s="35"/>
      <c r="E46" s="35"/>
      <c r="F46" s="2"/>
    </row>
    <row r="47" spans="3:23">
      <c r="C47" s="2" t="s">
        <v>693</v>
      </c>
      <c r="D47" s="35"/>
      <c r="E47" s="35"/>
      <c r="F47" s="2"/>
    </row>
    <row r="48" spans="3:23">
      <c r="C48" s="2" t="s">
        <v>694</v>
      </c>
      <c r="D48" s="35"/>
      <c r="E48" s="35"/>
      <c r="F48" s="2"/>
    </row>
    <row r="49" spans="1:20">
      <c r="C49" s="7"/>
    </row>
    <row r="50" spans="1:20">
      <c r="C50" s="7"/>
    </row>
    <row r="51" spans="1:20">
      <c r="A51" t="s">
        <v>695</v>
      </c>
      <c r="C51" s="35" t="s">
        <v>696</v>
      </c>
    </row>
    <row r="52" spans="1:20">
      <c r="C52" s="18"/>
      <c r="D52" s="19"/>
      <c r="E52" s="19" t="s">
        <v>281</v>
      </c>
      <c r="F52" s="24" t="s">
        <v>282</v>
      </c>
      <c r="H52" s="154">
        <v>2011</v>
      </c>
      <c r="I52" s="155">
        <v>2012</v>
      </c>
      <c r="J52" s="155">
        <v>2013</v>
      </c>
      <c r="K52" s="155">
        <v>2014</v>
      </c>
      <c r="L52" s="155">
        <v>2015</v>
      </c>
      <c r="M52" s="155">
        <v>2016</v>
      </c>
      <c r="N52" s="12">
        <v>2017</v>
      </c>
      <c r="O52" s="12">
        <v>2018</v>
      </c>
      <c r="P52" s="12">
        <v>2019</v>
      </c>
      <c r="Q52" s="12">
        <v>2020</v>
      </c>
      <c r="R52" s="12">
        <v>2021</v>
      </c>
      <c r="S52" s="12">
        <v>2022</v>
      </c>
      <c r="T52" s="13">
        <v>2023</v>
      </c>
    </row>
    <row r="53" spans="1:20">
      <c r="C53" s="864" t="s">
        <v>697</v>
      </c>
      <c r="D53" s="865"/>
      <c r="E53" s="865" t="s">
        <v>677</v>
      </c>
      <c r="F53" s="866" t="s">
        <v>289</v>
      </c>
      <c r="H53" s="867"/>
      <c r="I53" s="868">
        <v>3296.0989790808771</v>
      </c>
      <c r="J53" s="868">
        <v>2675.6140730082138</v>
      </c>
      <c r="K53" s="868">
        <v>3389.4656251555712</v>
      </c>
      <c r="L53" s="868">
        <v>2551</v>
      </c>
      <c r="M53" s="868">
        <v>2873</v>
      </c>
      <c r="N53" s="868">
        <v>2768</v>
      </c>
      <c r="O53" s="868">
        <v>2786</v>
      </c>
      <c r="P53" s="868">
        <v>3274</v>
      </c>
      <c r="Q53" s="868">
        <v>2404</v>
      </c>
      <c r="R53" s="868">
        <v>3128</v>
      </c>
      <c r="S53" s="868">
        <v>2759</v>
      </c>
      <c r="T53" s="842">
        <v>3217</v>
      </c>
    </row>
    <row r="54" spans="1:20">
      <c r="C54" s="855" t="s">
        <v>698</v>
      </c>
      <c r="D54" s="202"/>
      <c r="E54" s="202" t="s">
        <v>232</v>
      </c>
      <c r="F54" s="859" t="s">
        <v>329</v>
      </c>
      <c r="H54" s="833"/>
      <c r="I54" s="618">
        <v>943.69638820157888</v>
      </c>
      <c r="J54" s="618">
        <v>766.04718272849266</v>
      </c>
      <c r="K54" s="618">
        <v>564.91093752592849</v>
      </c>
      <c r="L54" s="618">
        <v>125.9753086419753</v>
      </c>
      <c r="M54" s="618">
        <v>197.32142857142858</v>
      </c>
      <c r="N54" s="618">
        <v>133.50482315112541</v>
      </c>
      <c r="O54" s="618">
        <v>302.82608695652175</v>
      </c>
      <c r="P54" s="618">
        <v>259.32673267326732</v>
      </c>
      <c r="Q54" s="618">
        <v>210.87719298245614</v>
      </c>
      <c r="R54" s="618">
        <v>153.8360655737705</v>
      </c>
      <c r="S54" s="618">
        <v>182.99489795918367</v>
      </c>
      <c r="T54" s="181">
        <v>0</v>
      </c>
    </row>
    <row r="55" spans="1:20">
      <c r="C55" s="856" t="s">
        <v>668</v>
      </c>
      <c r="D55" s="203"/>
      <c r="E55" s="203" t="s">
        <v>232</v>
      </c>
      <c r="F55" s="860" t="s">
        <v>232</v>
      </c>
      <c r="H55" s="833"/>
      <c r="I55" s="618">
        <v>2352.4025908792983</v>
      </c>
      <c r="J55" s="618">
        <v>1909.5668902797211</v>
      </c>
      <c r="K55" s="618">
        <v>2824.5546876296426</v>
      </c>
      <c r="L55" s="618">
        <v>2425.0246913580249</v>
      </c>
      <c r="M55" s="618">
        <v>2675.6785714285716</v>
      </c>
      <c r="N55" s="618">
        <v>2634.4951768488745</v>
      </c>
      <c r="O55" s="618">
        <v>2483.1739130434785</v>
      </c>
      <c r="P55" s="618">
        <v>3014.6732673267329</v>
      </c>
      <c r="Q55" s="618">
        <v>2193.1228070175439</v>
      </c>
      <c r="R55" s="618">
        <v>2974.1639344262294</v>
      </c>
      <c r="S55" s="618">
        <v>2576.0051020408168</v>
      </c>
      <c r="T55" s="181">
        <v>3217.0000000000009</v>
      </c>
    </row>
    <row r="56" spans="1:20">
      <c r="C56" s="857" t="s">
        <v>699</v>
      </c>
      <c r="D56" s="201"/>
      <c r="E56" s="201" t="s">
        <v>232</v>
      </c>
      <c r="F56" s="861" t="s">
        <v>577</v>
      </c>
      <c r="H56" s="867"/>
      <c r="I56" s="868">
        <v>1020.4292612176893</v>
      </c>
      <c r="J56" s="868">
        <v>828.33522571727076</v>
      </c>
      <c r="K56" s="868">
        <v>1049.3343572967337</v>
      </c>
      <c r="L56" s="868">
        <v>805.48910441221767</v>
      </c>
      <c r="M56" s="868">
        <v>899.89083600251354</v>
      </c>
      <c r="N56" s="868">
        <v>849.97727677086289</v>
      </c>
      <c r="O56" s="868">
        <v>802.84765342960293</v>
      </c>
      <c r="P56" s="868">
        <v>1059.8339350180506</v>
      </c>
      <c r="Q56" s="868">
        <v>866</v>
      </c>
      <c r="R56" s="868">
        <v>1382</v>
      </c>
      <c r="S56" s="868">
        <v>1092</v>
      </c>
      <c r="T56" s="842">
        <v>1209</v>
      </c>
    </row>
    <row r="57" spans="1:20">
      <c r="C57" s="86" t="s">
        <v>698</v>
      </c>
      <c r="D57" s="858"/>
      <c r="E57" s="858" t="s">
        <v>232</v>
      </c>
      <c r="F57" s="862" t="s">
        <v>232</v>
      </c>
      <c r="H57" s="833"/>
      <c r="I57" s="618">
        <v>943.69638820157888</v>
      </c>
      <c r="J57" s="618">
        <v>766.04718272849266</v>
      </c>
      <c r="K57" s="618">
        <v>564.91093752592849</v>
      </c>
      <c r="L57" s="618">
        <v>125.9753086419753</v>
      </c>
      <c r="M57" s="618">
        <v>197.32142857142858</v>
      </c>
      <c r="N57" s="618">
        <v>133.50482315112541</v>
      </c>
      <c r="O57" s="618">
        <v>302.82608695652175</v>
      </c>
      <c r="P57" s="618">
        <v>259.32673267326732</v>
      </c>
      <c r="Q57" s="618">
        <v>210.87719298245614</v>
      </c>
      <c r="R57" s="618">
        <v>153.8360655737705</v>
      </c>
      <c r="S57" s="618">
        <v>182.99489795918367</v>
      </c>
      <c r="T57" s="181">
        <v>0</v>
      </c>
    </row>
    <row r="58" spans="1:20">
      <c r="C58" s="87" t="s">
        <v>700</v>
      </c>
      <c r="D58" s="204"/>
      <c r="E58" s="204" t="s">
        <v>232</v>
      </c>
      <c r="F58" s="863" t="s">
        <v>232</v>
      </c>
      <c r="H58" s="619"/>
      <c r="I58" s="182">
        <v>2275.669717863188</v>
      </c>
      <c r="J58" s="182">
        <v>1081.2316645624503</v>
      </c>
      <c r="K58" s="182">
        <v>1775.2203303329088</v>
      </c>
      <c r="L58" s="182">
        <v>1619.5355869458072</v>
      </c>
      <c r="M58" s="182">
        <v>1775.7877354260581</v>
      </c>
      <c r="N58" s="182">
        <v>1784.5179000780117</v>
      </c>
      <c r="O58" s="182">
        <v>1680.3262596138757</v>
      </c>
      <c r="P58" s="182">
        <v>1954.8393323086823</v>
      </c>
      <c r="Q58" s="182">
        <v>1327.1228070175439</v>
      </c>
      <c r="R58" s="182">
        <v>1592.1639344262294</v>
      </c>
      <c r="S58" s="182">
        <v>1484.0051020408168</v>
      </c>
      <c r="T58" s="183">
        <v>2008.0000000000009</v>
      </c>
    </row>
    <row r="59" spans="1:20">
      <c r="C59" s="7"/>
    </row>
    <row r="61" spans="1:20">
      <c r="C61" s="113" t="s">
        <v>701</v>
      </c>
      <c r="H61" s="668"/>
      <c r="I61" s="668"/>
      <c r="J61" s="668"/>
      <c r="K61" s="668"/>
      <c r="L61" s="668"/>
      <c r="M61" s="668"/>
      <c r="N61" s="454"/>
      <c r="O61" s="454"/>
      <c r="P61" s="454"/>
      <c r="Q61" s="454"/>
      <c r="R61" s="454"/>
      <c r="S61" s="454"/>
      <c r="T61" s="454"/>
    </row>
    <row r="62" spans="1:20">
      <c r="C62" s="16"/>
      <c r="D62" s="17"/>
      <c r="E62" s="17" t="s">
        <v>281</v>
      </c>
      <c r="F62" s="23" t="s">
        <v>282</v>
      </c>
      <c r="H62" s="154">
        <v>2011</v>
      </c>
      <c r="I62" s="155">
        <v>2012</v>
      </c>
      <c r="J62" s="155">
        <v>2013</v>
      </c>
      <c r="K62" s="155">
        <v>2014</v>
      </c>
      <c r="L62" s="155">
        <v>2015</v>
      </c>
      <c r="M62" s="155">
        <v>2016</v>
      </c>
      <c r="N62" s="12">
        <v>2017</v>
      </c>
      <c r="O62" s="12">
        <v>2018</v>
      </c>
      <c r="P62" s="12">
        <v>2019</v>
      </c>
      <c r="Q62" s="12">
        <v>2020</v>
      </c>
      <c r="R62" s="12">
        <v>2021</v>
      </c>
      <c r="S62" s="12">
        <v>2022</v>
      </c>
      <c r="T62" s="13">
        <v>2023</v>
      </c>
    </row>
    <row r="63" spans="1:20">
      <c r="C63" s="849" t="s">
        <v>702</v>
      </c>
      <c r="E63" t="s">
        <v>703</v>
      </c>
      <c r="F63" s="31"/>
      <c r="H63" s="883">
        <v>114.60999999999999</v>
      </c>
      <c r="I63" s="884">
        <v>192</v>
      </c>
      <c r="J63" s="884">
        <v>94</v>
      </c>
      <c r="K63" s="884">
        <v>202</v>
      </c>
      <c r="L63" s="884">
        <v>249.20000000000005</v>
      </c>
      <c r="M63" s="884">
        <v>456.04466796000003</v>
      </c>
      <c r="N63" s="884">
        <v>410.90977511000006</v>
      </c>
      <c r="O63" s="884">
        <v>329.44942568999988</v>
      </c>
      <c r="P63" s="884">
        <v>625.61693683999988</v>
      </c>
      <c r="Q63" s="884">
        <v>260.34076391999986</v>
      </c>
      <c r="R63" s="884">
        <v>161.89848962999986</v>
      </c>
      <c r="S63" s="884">
        <v>13.364536680000356</v>
      </c>
      <c r="T63" s="885">
        <v>289.08645925000042</v>
      </c>
    </row>
    <row r="64" spans="1:20">
      <c r="C64" s="849" t="s">
        <v>704</v>
      </c>
      <c r="F64" s="31"/>
      <c r="H64" s="883">
        <v>294</v>
      </c>
      <c r="I64" s="884">
        <v>329</v>
      </c>
      <c r="J64" s="884">
        <v>564</v>
      </c>
      <c r="K64" s="884">
        <v>634</v>
      </c>
      <c r="L64" s="884">
        <v>622.79999999999995</v>
      </c>
      <c r="M64" s="884">
        <v>549.29999999999995</v>
      </c>
      <c r="N64" s="884">
        <v>357.4</v>
      </c>
      <c r="O64" s="884">
        <v>414.8</v>
      </c>
      <c r="P64" s="884">
        <v>448.2</v>
      </c>
      <c r="Q64" s="884">
        <v>755.64043600000002</v>
      </c>
      <c r="R64" s="884">
        <v>808.14</v>
      </c>
      <c r="S64" s="884">
        <v>816.52511000000004</v>
      </c>
      <c r="T64" s="885">
        <v>742.14453400000002</v>
      </c>
    </row>
    <row r="65" spans="1:21">
      <c r="C65" s="849" t="s">
        <v>705</v>
      </c>
      <c r="F65" s="31"/>
      <c r="H65" s="843">
        <v>138.38999999999999</v>
      </c>
      <c r="I65" s="844">
        <v>168</v>
      </c>
      <c r="J65" s="844">
        <v>261</v>
      </c>
      <c r="K65" s="844">
        <v>266</v>
      </c>
      <c r="L65" s="844">
        <v>430</v>
      </c>
      <c r="M65" s="844">
        <v>481.65533204000002</v>
      </c>
      <c r="N65" s="844">
        <v>547.69022488999997</v>
      </c>
      <c r="O65" s="844">
        <v>779.75057431000016</v>
      </c>
      <c r="P65" s="844">
        <v>887.18306316000007</v>
      </c>
      <c r="Q65" s="844">
        <v>975.01880008000001</v>
      </c>
      <c r="R65" s="844">
        <v>1485.6250818500002</v>
      </c>
      <c r="S65" s="844">
        <v>1114.1510267999997</v>
      </c>
      <c r="T65" s="845">
        <v>1201.0299566299998</v>
      </c>
    </row>
    <row r="66" spans="1:21">
      <c r="C66" s="850" t="s">
        <v>706</v>
      </c>
      <c r="F66" s="31"/>
      <c r="H66" s="843">
        <v>493.9</v>
      </c>
      <c r="I66" s="844">
        <v>596.80000000000007</v>
      </c>
      <c r="J66" s="844">
        <v>636.43856900000003</v>
      </c>
      <c r="K66" s="844">
        <v>622.58150846000001</v>
      </c>
      <c r="L66" s="844">
        <v>875.30000000000007</v>
      </c>
      <c r="M66" s="844">
        <v>811.19114499</v>
      </c>
      <c r="N66" s="844">
        <v>681</v>
      </c>
      <c r="O66" s="844">
        <v>675</v>
      </c>
      <c r="P66" s="844">
        <v>757</v>
      </c>
      <c r="Q66" s="844">
        <v>875</v>
      </c>
      <c r="R66" s="844">
        <v>1117.7290574372419</v>
      </c>
      <c r="S66" s="844">
        <v>1024.4234412503533</v>
      </c>
      <c r="T66" s="845">
        <v>1183.5105341624055</v>
      </c>
    </row>
    <row r="67" spans="1:21">
      <c r="C67" s="851" t="s">
        <v>707</v>
      </c>
      <c r="D67" s="92"/>
      <c r="E67" s="92"/>
      <c r="F67" s="33"/>
      <c r="H67" s="846"/>
      <c r="I67" s="847"/>
      <c r="J67" s="847"/>
      <c r="K67" s="847"/>
      <c r="L67" s="847"/>
      <c r="M67" s="847"/>
      <c r="N67" s="847"/>
      <c r="O67" s="847">
        <v>193.928</v>
      </c>
      <c r="P67" s="847">
        <v>256.74099999999999</v>
      </c>
      <c r="Q67" s="847">
        <v>200.55199999999999</v>
      </c>
      <c r="R67" s="847">
        <v>203.25400000000002</v>
      </c>
      <c r="S67" s="847">
        <v>201.53799999999998</v>
      </c>
      <c r="T67" s="848">
        <v>201.53799999999998</v>
      </c>
    </row>
    <row r="68" spans="1:21">
      <c r="A68" s="854" t="s">
        <v>309</v>
      </c>
      <c r="C68" s="852" t="s">
        <v>708</v>
      </c>
      <c r="D68" s="63"/>
      <c r="E68" s="63"/>
      <c r="F68" s="64"/>
      <c r="H68" s="853">
        <f>H64+H65</f>
        <v>432.39</v>
      </c>
      <c r="I68" s="839">
        <f t="shared" ref="I68:S68" si="0">I64+I65</f>
        <v>497</v>
      </c>
      <c r="J68" s="839">
        <f t="shared" si="0"/>
        <v>825</v>
      </c>
      <c r="K68" s="839">
        <f t="shared" si="0"/>
        <v>900</v>
      </c>
      <c r="L68" s="839">
        <f t="shared" si="0"/>
        <v>1052.8</v>
      </c>
      <c r="M68" s="839">
        <f t="shared" si="0"/>
        <v>1030.95533204</v>
      </c>
      <c r="N68" s="839">
        <f t="shared" si="0"/>
        <v>905.09022488999994</v>
      </c>
      <c r="O68" s="839">
        <f t="shared" si="0"/>
        <v>1194.5505743100002</v>
      </c>
      <c r="P68" s="839">
        <f t="shared" si="0"/>
        <v>1335.3830631600001</v>
      </c>
      <c r="Q68" s="839">
        <f t="shared" si="0"/>
        <v>1730.65923608</v>
      </c>
      <c r="R68" s="839">
        <f t="shared" si="0"/>
        <v>2293.7650818500001</v>
      </c>
      <c r="S68" s="839">
        <f t="shared" si="0"/>
        <v>1930.6761367999998</v>
      </c>
      <c r="T68" s="840">
        <f>T64+T65</f>
        <v>1943.1744906299998</v>
      </c>
      <c r="U68" s="1106">
        <v>1943.1744906299998</v>
      </c>
    </row>
    <row r="69" spans="1:21">
      <c r="C69" s="852" t="s">
        <v>709</v>
      </c>
      <c r="D69" s="63"/>
      <c r="E69" s="63"/>
      <c r="F69" s="64"/>
      <c r="H69" s="877" t="e">
        <f>H68/H53</f>
        <v>#DIV/0!</v>
      </c>
      <c r="I69" s="836">
        <f>I68/I53</f>
        <v>0.15078430688953076</v>
      </c>
      <c r="J69" s="836">
        <f t="shared" ref="J69:S69" si="1">J68/J53</f>
        <v>0.30834043232268027</v>
      </c>
      <c r="K69" s="836">
        <f t="shared" si="1"/>
        <v>0.26552858165029819</v>
      </c>
      <c r="L69" s="836">
        <f t="shared" si="1"/>
        <v>0.41270090160721284</v>
      </c>
      <c r="M69" s="836">
        <f t="shared" si="1"/>
        <v>0.35884278873651237</v>
      </c>
      <c r="N69" s="836">
        <f t="shared" si="1"/>
        <v>0.32698346274927742</v>
      </c>
      <c r="O69" s="836">
        <f>O68/O53</f>
        <v>0.42876905036252699</v>
      </c>
      <c r="P69" s="836">
        <f t="shared" si="1"/>
        <v>0.40787509565058039</v>
      </c>
      <c r="Q69" s="836">
        <f t="shared" si="1"/>
        <v>0.71990816808652247</v>
      </c>
      <c r="R69" s="836">
        <f t="shared" si="1"/>
        <v>0.73330085736892592</v>
      </c>
      <c r="S69" s="836">
        <f t="shared" si="1"/>
        <v>0.69977388068140622</v>
      </c>
      <c r="T69" s="837">
        <f>T68/T53</f>
        <v>0.6040331024650295</v>
      </c>
    </row>
    <row r="70" spans="1:21">
      <c r="B70" s="102">
        <v>45609</v>
      </c>
      <c r="C70" s="1107" t="s">
        <v>859</v>
      </c>
    </row>
    <row r="71" spans="1:21">
      <c r="C71" s="873" t="s">
        <v>710</v>
      </c>
    </row>
    <row r="73" spans="1:21">
      <c r="C73" s="15" t="s">
        <v>711</v>
      </c>
    </row>
    <row r="74" spans="1:21">
      <c r="C74" s="873"/>
    </row>
    <row r="75" spans="1:21">
      <c r="A75" t="s">
        <v>712</v>
      </c>
      <c r="C75" s="874" t="s">
        <v>713</v>
      </c>
    </row>
    <row r="76" spans="1:21">
      <c r="C76" s="875"/>
    </row>
    <row r="77" spans="1:21">
      <c r="C77" s="875" t="s">
        <v>714</v>
      </c>
    </row>
    <row r="78" spans="1:21">
      <c r="C78" s="875"/>
    </row>
    <row r="79" spans="1:21">
      <c r="C79" s="875" t="s">
        <v>715</v>
      </c>
    </row>
    <row r="80" spans="1:21">
      <c r="C80" s="875" t="s">
        <v>716</v>
      </c>
    </row>
    <row r="81" spans="3:20">
      <c r="C81" s="875"/>
    </row>
    <row r="82" spans="3:20">
      <c r="C82" s="898" t="s">
        <v>717</v>
      </c>
    </row>
    <row r="84" spans="3:20">
      <c r="C84" s="882" t="s">
        <v>718</v>
      </c>
      <c r="H84" s="154">
        <v>2011</v>
      </c>
      <c r="I84" s="155">
        <v>2012</v>
      </c>
      <c r="J84" s="155">
        <v>2013</v>
      </c>
      <c r="K84" s="155">
        <v>2014</v>
      </c>
      <c r="L84" s="155">
        <v>2015</v>
      </c>
      <c r="M84" s="155">
        <v>2016</v>
      </c>
      <c r="N84" s="12">
        <v>2017</v>
      </c>
      <c r="O84" s="12">
        <v>2018</v>
      </c>
      <c r="P84" s="12">
        <v>2019</v>
      </c>
      <c r="Q84" s="12">
        <v>2020</v>
      </c>
      <c r="R84" s="12">
        <v>2021</v>
      </c>
      <c r="S84" s="12">
        <v>2022</v>
      </c>
      <c r="T84" s="13">
        <v>2023</v>
      </c>
    </row>
    <row r="85" spans="3:20">
      <c r="C85" s="881" t="s">
        <v>718</v>
      </c>
      <c r="D85" s="70"/>
      <c r="E85" s="70"/>
      <c r="F85" s="29" t="s">
        <v>248</v>
      </c>
      <c r="H85" s="65">
        <f>H64/H68</f>
        <v>0.6799417192812045</v>
      </c>
      <c r="I85" s="63">
        <f t="shared" ref="I85:T85" si="2">I64/I68</f>
        <v>0.6619718309859155</v>
      </c>
      <c r="J85" s="63">
        <f t="shared" si="2"/>
        <v>0.6836363636363636</v>
      </c>
      <c r="K85" s="63">
        <f t="shared" si="2"/>
        <v>0.70444444444444443</v>
      </c>
      <c r="L85" s="63">
        <f>L64/L68</f>
        <v>0.59156534954407292</v>
      </c>
      <c r="M85" s="63">
        <f t="shared" si="2"/>
        <v>0.53280678893534028</v>
      </c>
      <c r="N85" s="63">
        <f t="shared" si="2"/>
        <v>0.39487775933436531</v>
      </c>
      <c r="O85" s="63">
        <f t="shared" si="2"/>
        <v>0.34724356500317954</v>
      </c>
      <c r="P85" s="63">
        <f t="shared" si="2"/>
        <v>0.33563403068734182</v>
      </c>
      <c r="Q85" s="63">
        <f t="shared" si="2"/>
        <v>0.43662000019804614</v>
      </c>
      <c r="R85" s="63">
        <f t="shared" si="2"/>
        <v>0.35232029922968722</v>
      </c>
      <c r="S85" s="63">
        <f t="shared" si="2"/>
        <v>0.4229218429940042</v>
      </c>
      <c r="T85" s="64">
        <f t="shared" si="2"/>
        <v>0.38192377348438128</v>
      </c>
    </row>
    <row r="86" spans="3:20">
      <c r="C86" s="403" t="s">
        <v>719</v>
      </c>
      <c r="D86" s="92"/>
      <c r="E86" s="92"/>
      <c r="F86" s="33" t="s">
        <v>720</v>
      </c>
      <c r="H86" s="196">
        <f>AVERAGE(H85:T85)</f>
        <v>0.50199290521218043</v>
      </c>
    </row>
    <row r="88" spans="3:20">
      <c r="C88" s="191" t="s">
        <v>721</v>
      </c>
    </row>
    <row r="90" spans="3:20">
      <c r="C90" s="15" t="s">
        <v>722</v>
      </c>
      <c r="H90" s="279">
        <v>2018</v>
      </c>
      <c r="I90" s="13">
        <v>2019</v>
      </c>
    </row>
    <row r="91" spans="3:20">
      <c r="C91" s="65" t="s">
        <v>723</v>
      </c>
      <c r="D91" s="63"/>
      <c r="E91" s="63"/>
      <c r="F91" s="64" t="s">
        <v>249</v>
      </c>
      <c r="H91" s="65">
        <f>O33*O85</f>
        <v>445.86073746408255</v>
      </c>
      <c r="I91" s="64">
        <f>P33*P85</f>
        <v>568.89968201504439</v>
      </c>
    </row>
    <row r="94" spans="3:20">
      <c r="C94" s="206" t="s">
        <v>724</v>
      </c>
    </row>
    <row r="95" spans="3:20">
      <c r="C95" s="875"/>
    </row>
    <row r="96" spans="3:20">
      <c r="C96" s="15" t="s">
        <v>725</v>
      </c>
      <c r="H96" s="279">
        <v>2018</v>
      </c>
      <c r="I96" s="13">
        <v>2019</v>
      </c>
      <c r="J96" s="879" t="s">
        <v>726</v>
      </c>
    </row>
    <row r="97" spans="1:20">
      <c r="C97" s="69" t="s">
        <v>727</v>
      </c>
      <c r="D97" s="70"/>
      <c r="E97" s="70"/>
      <c r="F97" s="29" t="s">
        <v>248</v>
      </c>
      <c r="H97" s="876">
        <f>H91/(H91+O37)</f>
        <v>0.71125963203211329</v>
      </c>
      <c r="I97" s="876">
        <f>I91/(I91+P37)</f>
        <v>0.64876255937025662</v>
      </c>
      <c r="J97" s="878">
        <f>AVERAGE(H97:I97)</f>
        <v>0.6800110957011849</v>
      </c>
    </row>
    <row r="98" spans="1:20">
      <c r="C98" s="91" t="s">
        <v>728</v>
      </c>
      <c r="D98" s="92"/>
      <c r="E98" s="92"/>
      <c r="F98" s="33" t="s">
        <v>720</v>
      </c>
      <c r="H98" s="453">
        <f>O37/(H91+O37)</f>
        <v>0.28874036796788666</v>
      </c>
      <c r="I98" s="453">
        <f>P37/(I91+P37)</f>
        <v>0.35123744062974338</v>
      </c>
      <c r="J98" s="880">
        <f>AVERAGE(H98:I98)</f>
        <v>0.31998890429881499</v>
      </c>
    </row>
    <row r="100" spans="1:20">
      <c r="C100" s="206" t="s">
        <v>729</v>
      </c>
    </row>
    <row r="101" spans="1:20">
      <c r="C101" t="s">
        <v>730</v>
      </c>
    </row>
    <row r="102" spans="1:20">
      <c r="C102" t="s">
        <v>731</v>
      </c>
    </row>
    <row r="104" spans="1:20">
      <c r="C104" s="15" t="s">
        <v>732</v>
      </c>
      <c r="H104" s="154">
        <v>2011</v>
      </c>
      <c r="I104" s="155">
        <v>2012</v>
      </c>
      <c r="J104" s="155">
        <v>2013</v>
      </c>
      <c r="K104" s="155">
        <v>2014</v>
      </c>
      <c r="L104" s="155">
        <v>2015</v>
      </c>
      <c r="M104" s="155">
        <v>2016</v>
      </c>
      <c r="N104" s="12">
        <v>2017</v>
      </c>
      <c r="O104" s="12">
        <v>2018</v>
      </c>
      <c r="P104" s="12">
        <v>2019</v>
      </c>
      <c r="Q104" s="12">
        <v>2020</v>
      </c>
      <c r="R104" s="12">
        <v>2021</v>
      </c>
      <c r="S104" s="12">
        <v>2022</v>
      </c>
      <c r="T104" s="13">
        <v>2023</v>
      </c>
    </row>
    <row r="105" spans="1:20">
      <c r="C105" s="69" t="s">
        <v>733</v>
      </c>
      <c r="D105" s="70"/>
      <c r="E105" s="70"/>
      <c r="F105" s="29" t="s">
        <v>249</v>
      </c>
      <c r="H105" s="69"/>
      <c r="I105" s="70">
        <f t="shared" ref="I105:T105" si="3">I57*$J$97</f>
        <v>641.72401495020642</v>
      </c>
      <c r="J105" s="70">
        <f t="shared" si="3"/>
        <v>520.92058408600815</v>
      </c>
      <c r="K105" s="70">
        <f t="shared" si="3"/>
        <v>384.14570560059025</v>
      </c>
      <c r="L105" s="70">
        <f t="shared" si="3"/>
        <v>85.664607660924574</v>
      </c>
      <c r="M105" s="70">
        <f t="shared" si="3"/>
        <v>134.18076084818026</v>
      </c>
      <c r="N105" s="70">
        <f t="shared" si="3"/>
        <v>90.784761072389699</v>
      </c>
      <c r="O105" s="70">
        <f t="shared" si="3"/>
        <v>205.92509919820665</v>
      </c>
      <c r="P105" s="70">
        <f t="shared" si="3"/>
        <v>176.34505562975679</v>
      </c>
      <c r="Q105" s="70">
        <f t="shared" si="3"/>
        <v>143.39883105839021</v>
      </c>
      <c r="R105" s="70">
        <f t="shared" si="3"/>
        <v>104.610231509179</v>
      </c>
      <c r="S105" s="70">
        <f>S57*$J$97</f>
        <v>124.43856106895102</v>
      </c>
      <c r="T105" s="29">
        <f t="shared" si="3"/>
        <v>0</v>
      </c>
    </row>
    <row r="106" spans="1:20">
      <c r="A106" s="818" t="s">
        <v>572</v>
      </c>
      <c r="C106" s="91" t="s">
        <v>734</v>
      </c>
      <c r="D106" s="92"/>
      <c r="E106" s="92"/>
      <c r="F106" s="33" t="s">
        <v>232</v>
      </c>
      <c r="H106" s="91"/>
      <c r="I106" s="92">
        <f t="shared" ref="I106:T106" si="4">I105*I69</f>
        <v>96.761910808633758</v>
      </c>
      <c r="J106" s="92">
        <f t="shared" si="4"/>
        <v>160.62087810286286</v>
      </c>
      <c r="K106" s="92">
        <f t="shared" si="4"/>
        <v>102.00166435517774</v>
      </c>
      <c r="L106" s="92">
        <f t="shared" si="4"/>
        <v>35.353860817491721</v>
      </c>
      <c r="M106" s="92">
        <f t="shared" si="4"/>
        <v>48.149798417548041</v>
      </c>
      <c r="N106" s="92">
        <f t="shared" si="4"/>
        <v>29.685115540315788</v>
      </c>
      <c r="O106" s="92">
        <f t="shared" si="4"/>
        <v>88.294309229024236</v>
      </c>
      <c r="P106" s="92">
        <f t="shared" si="4"/>
        <v>71.926756432493974</v>
      </c>
      <c r="Q106" s="92">
        <f t="shared" si="4"/>
        <v>103.23398977299442</v>
      </c>
      <c r="R106" s="92">
        <f t="shared" si="4"/>
        <v>76.71077245524279</v>
      </c>
      <c r="S106" s="92">
        <f>S105*S69</f>
        <v>87.078854785630014</v>
      </c>
      <c r="T106" s="33">
        <f t="shared" si="4"/>
        <v>0</v>
      </c>
    </row>
    <row r="108" spans="1:20">
      <c r="C108" s="15" t="s">
        <v>735</v>
      </c>
      <c r="H108" s="80"/>
      <c r="I108" s="80"/>
      <c r="J108" s="80"/>
      <c r="K108" s="80"/>
      <c r="L108" s="80"/>
      <c r="M108" s="80"/>
      <c r="N108" s="153"/>
      <c r="O108" s="153"/>
      <c r="P108" s="153"/>
      <c r="Q108" s="153"/>
      <c r="R108" s="153"/>
      <c r="S108" s="153"/>
      <c r="T108" s="153"/>
    </row>
    <row r="109" spans="1:20">
      <c r="C109" s="199" t="s">
        <v>736</v>
      </c>
      <c r="D109" s="70"/>
      <c r="E109" s="70" t="s">
        <v>737</v>
      </c>
      <c r="F109" s="29"/>
      <c r="H109" s="1004">
        <f>AVERAGE(N106:T106)</f>
        <v>65.275685459385883</v>
      </c>
    </row>
    <row r="110" spans="1:20">
      <c r="C110" s="14" t="s">
        <v>738</v>
      </c>
      <c r="F110" s="31"/>
      <c r="H110" s="1005">
        <f>AVERAGE(I106:N106)</f>
        <v>78.762204673671647</v>
      </c>
    </row>
    <row r="111" spans="1:20">
      <c r="C111" s="20" t="s">
        <v>739</v>
      </c>
      <c r="D111" s="92"/>
      <c r="E111" s="92"/>
      <c r="F111" s="33"/>
      <c r="H111" s="1006">
        <f>AVERAGE(I106:T106)</f>
        <v>74.984825893117943</v>
      </c>
    </row>
    <row r="113" spans="3:3">
      <c r="C113" s="100" t="s">
        <v>1255</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27802-9D79-40FC-88DD-8507355AAB99}">
  <dimension ref="A1:AH102"/>
  <sheetViews>
    <sheetView topLeftCell="A73" zoomScale="42" workbookViewId="0">
      <selection activeCell="J102" sqref="J102"/>
    </sheetView>
  </sheetViews>
  <sheetFormatPr baseColWidth="10" defaultColWidth="11.453125" defaultRowHeight="14.5"/>
  <cols>
    <col min="1" max="1" width="22.81640625" customWidth="1"/>
    <col min="4" max="4" width="14.7265625" customWidth="1"/>
    <col min="5" max="7" width="12.54296875" bestFit="1" customWidth="1"/>
    <col min="8" max="8" width="14.7265625" bestFit="1" customWidth="1"/>
    <col min="9" max="9" width="14.453125" bestFit="1" customWidth="1"/>
    <col min="10" max="20" width="13.26953125" bestFit="1" customWidth="1"/>
  </cols>
  <sheetData>
    <row r="1" spans="1:20" ht="21">
      <c r="A1" s="95" t="s">
        <v>264</v>
      </c>
      <c r="B1" s="95" t="s">
        <v>265</v>
      </c>
      <c r="C1" s="1" t="s">
        <v>633</v>
      </c>
      <c r="H1" s="150">
        <v>2011</v>
      </c>
      <c r="I1" s="151">
        <v>2012</v>
      </c>
      <c r="J1" s="151">
        <v>2013</v>
      </c>
      <c r="K1" s="151">
        <v>2014</v>
      </c>
      <c r="L1" s="151">
        <v>2015</v>
      </c>
      <c r="M1" s="151">
        <v>2016</v>
      </c>
      <c r="N1" s="151">
        <v>2017</v>
      </c>
      <c r="O1" s="151">
        <v>2018</v>
      </c>
      <c r="P1" s="151">
        <v>2019</v>
      </c>
      <c r="Q1" s="151">
        <v>2020</v>
      </c>
      <c r="R1" s="151">
        <v>2021</v>
      </c>
      <c r="S1" s="151">
        <v>2022</v>
      </c>
      <c r="T1" s="152">
        <v>2023</v>
      </c>
    </row>
    <row r="3" spans="1:20">
      <c r="C3" s="7" t="s">
        <v>267</v>
      </c>
    </row>
    <row r="4" spans="1:20">
      <c r="C4" s="7"/>
    </row>
    <row r="5" spans="1:20">
      <c r="C5" s="7" t="s">
        <v>269</v>
      </c>
    </row>
    <row r="6" spans="1:20">
      <c r="C6" s="7"/>
    </row>
    <row r="7" spans="1:20">
      <c r="C7" s="7"/>
    </row>
    <row r="8" spans="1:20">
      <c r="C8" s="7"/>
    </row>
    <row r="9" spans="1:20">
      <c r="C9" s="7"/>
    </row>
    <row r="10" spans="1:20">
      <c r="C10" s="7"/>
    </row>
    <row r="11" spans="1:20">
      <c r="C11" s="7"/>
    </row>
    <row r="12" spans="1:20">
      <c r="C12" s="7"/>
    </row>
    <row r="13" spans="1:20">
      <c r="C13" s="7"/>
    </row>
    <row r="14" spans="1:20">
      <c r="C14" s="7"/>
    </row>
    <row r="15" spans="1:20">
      <c r="C15" s="7"/>
    </row>
    <row r="16" spans="1:20">
      <c r="C16" s="7"/>
    </row>
    <row r="17" spans="1:22">
      <c r="C17" s="7"/>
    </row>
    <row r="18" spans="1:22">
      <c r="C18" s="7"/>
    </row>
    <row r="19" spans="1:22">
      <c r="C19" s="96" t="s">
        <v>634</v>
      </c>
    </row>
    <row r="20" spans="1:22">
      <c r="C20" s="7"/>
    </row>
    <row r="21" spans="1:22" s="8" customFormat="1" ht="21">
      <c r="C21" s="9" t="s">
        <v>582</v>
      </c>
      <c r="P21" s="10"/>
    </row>
    <row r="23" spans="1:22">
      <c r="C23" s="7" t="s">
        <v>272</v>
      </c>
    </row>
    <row r="24" spans="1:22">
      <c r="C24" t="s">
        <v>635</v>
      </c>
    </row>
    <row r="26" spans="1:22">
      <c r="C26" s="7" t="s">
        <v>277</v>
      </c>
      <c r="N26" s="58"/>
    </row>
    <row r="27" spans="1:22">
      <c r="N27" s="58"/>
    </row>
    <row r="28" spans="1:22">
      <c r="A28" t="s">
        <v>636</v>
      </c>
      <c r="B28" s="94">
        <v>45810</v>
      </c>
      <c r="C28" s="56" t="s">
        <v>637</v>
      </c>
      <c r="H28" s="58"/>
      <c r="N28" s="80"/>
    </row>
    <row r="29" spans="1:22">
      <c r="C29" s="16"/>
      <c r="D29" s="17"/>
      <c r="E29" s="17" t="s">
        <v>281</v>
      </c>
      <c r="F29" s="23" t="s">
        <v>282</v>
      </c>
      <c r="G29" s="2"/>
      <c r="H29" s="156">
        <v>2011</v>
      </c>
      <c r="I29" s="157">
        <v>2012</v>
      </c>
      <c r="J29" s="157">
        <v>2013</v>
      </c>
      <c r="K29" s="157">
        <v>2014</v>
      </c>
      <c r="L29" s="157">
        <v>2015</v>
      </c>
      <c r="M29" s="157">
        <v>2016</v>
      </c>
      <c r="N29" s="45">
        <v>2017</v>
      </c>
      <c r="O29" s="45">
        <v>2018</v>
      </c>
      <c r="P29" s="45">
        <v>2019</v>
      </c>
      <c r="Q29" s="45">
        <v>2020</v>
      </c>
      <c r="R29" s="45">
        <v>2021</v>
      </c>
      <c r="S29" s="45">
        <v>2022</v>
      </c>
      <c r="T29" s="45">
        <v>2023</v>
      </c>
      <c r="U29" s="45">
        <v>2024</v>
      </c>
      <c r="V29" s="46">
        <v>2025</v>
      </c>
    </row>
    <row r="30" spans="1:22">
      <c r="C30" s="18" t="s">
        <v>638</v>
      </c>
      <c r="D30" s="19"/>
      <c r="E30" s="57" t="s">
        <v>588</v>
      </c>
      <c r="F30" s="24"/>
      <c r="G30" s="2"/>
      <c r="H30" s="651">
        <v>1725</v>
      </c>
      <c r="I30" s="67">
        <v>1765</v>
      </c>
      <c r="J30" s="67">
        <v>1997</v>
      </c>
      <c r="K30" s="67">
        <v>1574</v>
      </c>
      <c r="L30" s="67">
        <v>1862</v>
      </c>
      <c r="M30" s="67">
        <v>1470</v>
      </c>
      <c r="N30" s="67">
        <v>1318</v>
      </c>
      <c r="O30" s="67">
        <v>1363</v>
      </c>
      <c r="P30" s="67">
        <v>1161</v>
      </c>
      <c r="Q30" s="67">
        <v>1010</v>
      </c>
      <c r="R30" s="67">
        <v>536</v>
      </c>
      <c r="S30" s="67">
        <v>233</v>
      </c>
      <c r="T30" s="67">
        <v>389</v>
      </c>
      <c r="U30" s="67">
        <v>398</v>
      </c>
      <c r="V30" s="288">
        <v>422.05726405090138</v>
      </c>
    </row>
    <row r="31" spans="1:22">
      <c r="C31" s="14" t="s">
        <v>639</v>
      </c>
      <c r="D31" s="2"/>
      <c r="E31" s="25" t="s">
        <v>232</v>
      </c>
      <c r="F31" s="26"/>
      <c r="G31" s="2"/>
      <c r="H31" s="280">
        <v>316.92691655679033</v>
      </c>
      <c r="I31" s="173">
        <v>324.27594650593329</v>
      </c>
      <c r="J31" s="173">
        <v>366.90032021096249</v>
      </c>
      <c r="K31" s="173">
        <v>289.18432849877564</v>
      </c>
      <c r="L31" s="173">
        <v>342.09734413260497</v>
      </c>
      <c r="M31" s="173">
        <v>270.07685063100394</v>
      </c>
      <c r="N31" s="173">
        <v>242.15053682426068</v>
      </c>
      <c r="O31" s="173">
        <v>250.41819551704651</v>
      </c>
      <c r="P31" s="173">
        <v>213.30559427387453</v>
      </c>
      <c r="Q31" s="173">
        <v>185.56300621585984</v>
      </c>
      <c r="R31" s="173">
        <v>98.477001318515718</v>
      </c>
      <c r="S31" s="173">
        <v>42.808099453757769</v>
      </c>
      <c r="T31" s="173">
        <v>71.469316255415336</v>
      </c>
      <c r="U31" s="173">
        <v>73.122847993972499</v>
      </c>
      <c r="V31" s="281">
        <v>77.542786844085356</v>
      </c>
    </row>
    <row r="32" spans="1:22">
      <c r="C32" s="14" t="s">
        <v>640</v>
      </c>
      <c r="D32" s="2"/>
      <c r="E32" s="25" t="s">
        <v>232</v>
      </c>
      <c r="F32" s="26"/>
      <c r="G32" s="2"/>
      <c r="H32" s="280">
        <v>1408.0730834432095</v>
      </c>
      <c r="I32" s="173">
        <v>1440.7240534940665</v>
      </c>
      <c r="J32" s="173">
        <v>1630.0996797890373</v>
      </c>
      <c r="K32" s="173">
        <v>1284.8156715012242</v>
      </c>
      <c r="L32" s="173">
        <v>1519.902655867395</v>
      </c>
      <c r="M32" s="173">
        <v>1199.9231493689961</v>
      </c>
      <c r="N32" s="173">
        <v>1075.8494631757392</v>
      </c>
      <c r="O32" s="173">
        <v>1112.5818044829534</v>
      </c>
      <c r="P32" s="173">
        <v>947.69440572612541</v>
      </c>
      <c r="Q32" s="173">
        <v>824.4369937841401</v>
      </c>
      <c r="R32" s="173">
        <v>437.52299868148424</v>
      </c>
      <c r="S32" s="173">
        <v>190.19190054624221</v>
      </c>
      <c r="T32" s="173">
        <v>317.53068374458462</v>
      </c>
      <c r="U32" s="173">
        <v>324.87715200602747</v>
      </c>
      <c r="V32" s="281">
        <v>344.51447720681597</v>
      </c>
    </row>
    <row r="33" spans="3:22">
      <c r="C33" s="18" t="s">
        <v>641</v>
      </c>
      <c r="D33" s="19"/>
      <c r="E33" s="57" t="s">
        <v>588</v>
      </c>
      <c r="F33" s="24"/>
      <c r="G33" s="2"/>
      <c r="H33" s="651">
        <v>5174</v>
      </c>
      <c r="I33" s="67">
        <v>4507</v>
      </c>
      <c r="J33" s="67">
        <v>5053</v>
      </c>
      <c r="K33" s="67">
        <v>4599</v>
      </c>
      <c r="L33" s="67">
        <v>5856</v>
      </c>
      <c r="M33" s="67">
        <v>5230</v>
      </c>
      <c r="N33" s="67">
        <v>4836</v>
      </c>
      <c r="O33" s="67">
        <v>4698</v>
      </c>
      <c r="P33" s="67">
        <v>5010</v>
      </c>
      <c r="Q33" s="67">
        <v>4179</v>
      </c>
      <c r="R33" s="67">
        <v>4324</v>
      </c>
      <c r="S33" s="67">
        <v>3595</v>
      </c>
      <c r="T33" s="67">
        <v>3834</v>
      </c>
      <c r="U33" s="67">
        <v>4369</v>
      </c>
      <c r="V33" s="288">
        <v>4633.0858960763517</v>
      </c>
    </row>
    <row r="34" spans="3:22">
      <c r="C34" s="14" t="s">
        <v>639</v>
      </c>
      <c r="D34" s="2"/>
      <c r="E34" s="25" t="s">
        <v>232</v>
      </c>
      <c r="F34" s="26"/>
      <c r="G34" s="2"/>
      <c r="H34" s="280">
        <v>3555.5865658508937</v>
      </c>
      <c r="I34" s="173">
        <v>3097.222391242748</v>
      </c>
      <c r="J34" s="173">
        <v>3472.4350439204804</v>
      </c>
      <c r="K34" s="173">
        <v>3160.4450360162855</v>
      </c>
      <c r="L34" s="173">
        <v>4024.2587803677684</v>
      </c>
      <c r="M34" s="173">
        <v>3749.0346603365315</v>
      </c>
      <c r="N34" s="173">
        <v>3609.893140839743</v>
      </c>
      <c r="O34" s="173">
        <v>3646.0829030427767</v>
      </c>
      <c r="P34" s="173">
        <v>4036.6699374850023</v>
      </c>
      <c r="Q34" s="173">
        <v>3490.9381512826362</v>
      </c>
      <c r="R34" s="173">
        <v>3740.1842579072468</v>
      </c>
      <c r="S34" s="173">
        <v>3216.1317713565804</v>
      </c>
      <c r="T34" s="173">
        <v>3543.5454545454545</v>
      </c>
      <c r="U34" s="173">
        <v>4038.0151515151515</v>
      </c>
      <c r="V34" s="281">
        <v>4282.0945403129917</v>
      </c>
    </row>
    <row r="35" spans="3:22">
      <c r="C35" s="20" t="s">
        <v>640</v>
      </c>
      <c r="D35" s="21"/>
      <c r="E35" s="22" t="s">
        <v>232</v>
      </c>
      <c r="F35" s="27"/>
      <c r="G35" s="2"/>
      <c r="H35" s="282">
        <v>1618.4134341491058</v>
      </c>
      <c r="I35" s="283">
        <v>1409.7776087572515</v>
      </c>
      <c r="J35" s="283">
        <v>1580.5649560795191</v>
      </c>
      <c r="K35" s="283">
        <v>1438.5549639837143</v>
      </c>
      <c r="L35" s="283">
        <v>1831.7412196322312</v>
      </c>
      <c r="M35" s="283">
        <v>1480.9653396634683</v>
      </c>
      <c r="N35" s="283">
        <v>1226.1068591602573</v>
      </c>
      <c r="O35" s="283">
        <v>1051.917096957224</v>
      </c>
      <c r="P35" s="283">
        <v>973.33006251499853</v>
      </c>
      <c r="Q35" s="283">
        <v>688.06184871736491</v>
      </c>
      <c r="R35" s="283">
        <v>583.81574209275459</v>
      </c>
      <c r="S35" s="283">
        <v>378.86822864342071</v>
      </c>
      <c r="T35" s="283">
        <v>290.45454545454544</v>
      </c>
      <c r="U35" s="283">
        <v>330.9848484848485</v>
      </c>
      <c r="V35" s="284">
        <v>350.99135576335999</v>
      </c>
    </row>
    <row r="36" spans="3:22">
      <c r="C36" s="62" t="s">
        <v>642</v>
      </c>
      <c r="D36" s="63"/>
      <c r="E36" s="63"/>
      <c r="F36" s="64"/>
      <c r="G36" s="2"/>
      <c r="H36" s="664">
        <f>SUM(H32+H35)</f>
        <v>3026.4865175923151</v>
      </c>
      <c r="I36" s="665">
        <f t="shared" ref="I36:V36" si="0">SUM(I32+I35)</f>
        <v>2850.5016622513181</v>
      </c>
      <c r="J36" s="665">
        <f t="shared" si="0"/>
        <v>3210.6646358685566</v>
      </c>
      <c r="K36" s="665">
        <f t="shared" si="0"/>
        <v>2723.3706354849382</v>
      </c>
      <c r="L36" s="665">
        <f t="shared" si="0"/>
        <v>3351.6438754996261</v>
      </c>
      <c r="M36" s="665">
        <f t="shared" si="0"/>
        <v>2680.8884890324643</v>
      </c>
      <c r="N36" s="665">
        <f t="shared" si="0"/>
        <v>2301.9563223359964</v>
      </c>
      <c r="O36" s="665">
        <f t="shared" si="0"/>
        <v>2164.4989014401772</v>
      </c>
      <c r="P36" s="665">
        <f t="shared" si="0"/>
        <v>1921.0244682411239</v>
      </c>
      <c r="Q36" s="665">
        <f t="shared" si="0"/>
        <v>1512.4988425015049</v>
      </c>
      <c r="R36" s="665">
        <f t="shared" si="0"/>
        <v>1021.3387407742389</v>
      </c>
      <c r="S36" s="665">
        <f t="shared" si="0"/>
        <v>569.06012918966292</v>
      </c>
      <c r="T36" s="665">
        <f t="shared" si="0"/>
        <v>607.98522919913012</v>
      </c>
      <c r="U36" s="665">
        <f t="shared" si="0"/>
        <v>655.86200049087597</v>
      </c>
      <c r="V36" s="666">
        <f t="shared" si="0"/>
        <v>695.50583297017602</v>
      </c>
    </row>
    <row r="37" spans="3:22">
      <c r="C37" s="205" t="s">
        <v>643</v>
      </c>
      <c r="D37" s="205" t="s">
        <v>644</v>
      </c>
      <c r="E37" s="96"/>
    </row>
    <row r="38" spans="3:22">
      <c r="C38" s="205" t="s">
        <v>645</v>
      </c>
      <c r="D38" s="205" t="s">
        <v>646</v>
      </c>
      <c r="E38" s="96"/>
    </row>
    <row r="39" spans="3:22">
      <c r="C39" s="101"/>
      <c r="D39" s="101"/>
    </row>
    <row r="40" spans="3:22">
      <c r="C40" s="101"/>
      <c r="D40" s="101"/>
      <c r="H40" s="156">
        <v>2011</v>
      </c>
      <c r="I40" s="157">
        <v>2012</v>
      </c>
      <c r="J40" s="157">
        <v>2013</v>
      </c>
      <c r="K40" s="157">
        <v>2014</v>
      </c>
      <c r="L40" s="157">
        <v>2015</v>
      </c>
      <c r="M40" s="157">
        <v>2016</v>
      </c>
      <c r="N40" s="45">
        <v>2017</v>
      </c>
      <c r="O40" s="45">
        <v>2018</v>
      </c>
      <c r="P40" s="45">
        <v>2019</v>
      </c>
      <c r="Q40" s="45">
        <v>2020</v>
      </c>
      <c r="R40" s="45">
        <v>2021</v>
      </c>
      <c r="S40" s="45">
        <v>2022</v>
      </c>
      <c r="T40" s="45">
        <v>2023</v>
      </c>
      <c r="U40" s="45">
        <v>2024</v>
      </c>
      <c r="V40" s="46">
        <v>2025</v>
      </c>
    </row>
    <row r="41" spans="3:22">
      <c r="C41" s="36" t="s">
        <v>638</v>
      </c>
      <c r="D41" s="19"/>
      <c r="E41" s="19"/>
      <c r="F41" s="19"/>
      <c r="G41" s="29"/>
      <c r="H41" s="357"/>
      <c r="I41" s="331"/>
      <c r="J41" s="331"/>
      <c r="K41" s="331"/>
      <c r="L41" s="331"/>
      <c r="M41" s="331"/>
      <c r="N41" s="331"/>
      <c r="O41" s="331"/>
      <c r="P41" s="331"/>
      <c r="Q41" s="331"/>
      <c r="R41" s="331"/>
      <c r="S41" s="331"/>
      <c r="T41" s="331"/>
      <c r="U41" s="331"/>
      <c r="V41" s="289"/>
    </row>
    <row r="42" spans="3:22">
      <c r="C42" s="1000" t="s">
        <v>288</v>
      </c>
      <c r="D42" s="2"/>
      <c r="E42" s="2" t="s">
        <v>647</v>
      </c>
      <c r="F42" s="2" t="s">
        <v>287</v>
      </c>
      <c r="G42" s="31"/>
      <c r="H42" s="114">
        <v>0.18372574872857411</v>
      </c>
      <c r="I42" s="115">
        <v>0.18372574872857411</v>
      </c>
      <c r="J42" s="115">
        <v>0.18372574872857411</v>
      </c>
      <c r="K42" s="115">
        <v>0.18372574872857411</v>
      </c>
      <c r="L42" s="115">
        <v>0.18372574872857411</v>
      </c>
      <c r="M42" s="115">
        <v>0.18372574872857411</v>
      </c>
      <c r="N42" s="115">
        <v>0.18372574872857411</v>
      </c>
      <c r="O42" s="115">
        <v>0.18372574872857411</v>
      </c>
      <c r="P42" s="115">
        <v>0.18372574872857411</v>
      </c>
      <c r="Q42" s="115">
        <v>0.18372574872857411</v>
      </c>
      <c r="R42" s="115">
        <v>0.18372574872857411</v>
      </c>
      <c r="S42" s="115">
        <v>0.18372574872857411</v>
      </c>
      <c r="T42" s="115">
        <v>0.18372574872857411</v>
      </c>
      <c r="U42" s="115">
        <v>0.18372574872857411</v>
      </c>
      <c r="V42" s="116">
        <v>0.18372574872857411</v>
      </c>
    </row>
    <row r="43" spans="3:22">
      <c r="C43" s="1001" t="s">
        <v>648</v>
      </c>
      <c r="D43" s="2"/>
      <c r="E43" s="2"/>
      <c r="F43" s="2"/>
      <c r="G43" s="31"/>
      <c r="H43" s="114"/>
      <c r="I43" s="115"/>
      <c r="J43" s="115"/>
      <c r="K43" s="115"/>
      <c r="L43" s="115">
        <v>0.15852326238462988</v>
      </c>
      <c r="M43" s="115"/>
      <c r="N43" s="115"/>
      <c r="O43" s="115"/>
      <c r="P43" s="115"/>
      <c r="Q43" s="115"/>
      <c r="R43" s="115"/>
      <c r="S43" s="115"/>
      <c r="T43" s="115"/>
      <c r="U43" s="115"/>
      <c r="V43" s="116"/>
    </row>
    <row r="44" spans="3:22">
      <c r="C44" s="1001" t="s">
        <v>649</v>
      </c>
      <c r="D44" s="2"/>
      <c r="E44" s="2"/>
      <c r="F44" s="2"/>
      <c r="G44" s="31"/>
      <c r="H44" s="114"/>
      <c r="I44" s="115"/>
      <c r="J44" s="115"/>
      <c r="K44" s="115"/>
      <c r="L44" s="115">
        <v>2.5202486343944244E-2</v>
      </c>
      <c r="M44" s="115"/>
      <c r="N44" s="115"/>
      <c r="O44" s="115"/>
      <c r="P44" s="115"/>
      <c r="Q44" s="115"/>
      <c r="R44" s="115"/>
      <c r="S44" s="115"/>
      <c r="T44" s="115"/>
      <c r="U44" s="115"/>
      <c r="V44" s="116"/>
    </row>
    <row r="45" spans="3:22">
      <c r="C45" s="1000" t="s">
        <v>416</v>
      </c>
      <c r="D45" s="2"/>
      <c r="E45" s="2"/>
      <c r="F45" s="2"/>
      <c r="G45" s="31"/>
      <c r="H45" s="114">
        <v>0.81627425127142583</v>
      </c>
      <c r="I45" s="115">
        <v>0.81627425127142583</v>
      </c>
      <c r="J45" s="115">
        <v>0.81627425127142583</v>
      </c>
      <c r="K45" s="115">
        <v>0.81627425127142583</v>
      </c>
      <c r="L45" s="115">
        <v>0.81627425127142583</v>
      </c>
      <c r="M45" s="115">
        <v>0.81627425127142583</v>
      </c>
      <c r="N45" s="115">
        <v>0.81627425127142583</v>
      </c>
      <c r="O45" s="115">
        <v>0.81627425127142583</v>
      </c>
      <c r="P45" s="115">
        <v>0.81627425127142583</v>
      </c>
      <c r="Q45" s="115">
        <v>0.81627425127142583</v>
      </c>
      <c r="R45" s="115">
        <v>0.81627425127142583</v>
      </c>
      <c r="S45" s="115">
        <v>0.81627425127142583</v>
      </c>
      <c r="T45" s="115">
        <v>0.81627425127142583</v>
      </c>
      <c r="U45" s="115">
        <v>0.81627425127142583</v>
      </c>
      <c r="V45" s="116">
        <v>0.81627425127142583</v>
      </c>
    </row>
    <row r="46" spans="3:22">
      <c r="C46" s="1001" t="s">
        <v>650</v>
      </c>
      <c r="D46" s="2"/>
      <c r="E46" s="2"/>
      <c r="F46" s="2"/>
      <c r="G46" s="31"/>
      <c r="H46" s="114"/>
      <c r="I46" s="115"/>
      <c r="J46" s="115"/>
      <c r="K46" s="115"/>
      <c r="L46" s="115">
        <v>0.17227349783386703</v>
      </c>
      <c r="M46" s="115"/>
      <c r="N46" s="115"/>
      <c r="O46" s="115"/>
      <c r="P46" s="115"/>
      <c r="Q46" s="115"/>
      <c r="R46" s="115"/>
      <c r="S46" s="115"/>
      <c r="T46" s="115"/>
      <c r="U46" s="115"/>
      <c r="V46" s="116"/>
    </row>
    <row r="47" spans="3:22">
      <c r="C47" s="1001" t="s">
        <v>651</v>
      </c>
      <c r="D47" s="2"/>
      <c r="E47" s="2"/>
      <c r="F47" s="2"/>
      <c r="G47" s="31"/>
      <c r="H47" s="114"/>
      <c r="I47" s="115"/>
      <c r="J47" s="115"/>
      <c r="K47" s="115"/>
      <c r="L47" s="115">
        <v>0.15000941796948578</v>
      </c>
      <c r="M47" s="115"/>
      <c r="N47" s="115"/>
      <c r="O47" s="115"/>
      <c r="P47" s="115"/>
      <c r="Q47" s="115"/>
      <c r="R47" s="115"/>
      <c r="S47" s="115"/>
      <c r="T47" s="115"/>
      <c r="U47" s="115"/>
      <c r="V47" s="116"/>
    </row>
    <row r="48" spans="3:22">
      <c r="C48" s="1001" t="s">
        <v>652</v>
      </c>
      <c r="D48" s="2"/>
      <c r="E48" s="2"/>
      <c r="F48" s="2"/>
      <c r="G48" s="31"/>
      <c r="H48" s="114"/>
      <c r="I48" s="115"/>
      <c r="J48" s="115"/>
      <c r="K48" s="115"/>
      <c r="L48" s="115">
        <v>0.49399133546807306</v>
      </c>
      <c r="M48" s="115"/>
      <c r="N48" s="115"/>
      <c r="O48" s="115"/>
      <c r="P48" s="115"/>
      <c r="Q48" s="115"/>
      <c r="R48" s="115"/>
      <c r="S48" s="115"/>
      <c r="T48" s="115"/>
      <c r="U48" s="115"/>
      <c r="V48" s="116"/>
    </row>
    <row r="49" spans="1:22">
      <c r="C49" s="36" t="s">
        <v>641</v>
      </c>
      <c r="D49" s="19"/>
      <c r="E49" s="19"/>
      <c r="F49" s="19"/>
      <c r="G49" s="29"/>
      <c r="H49" s="114"/>
      <c r="I49" s="115"/>
      <c r="J49" s="115"/>
      <c r="K49" s="115"/>
      <c r="L49" s="115"/>
      <c r="M49" s="115"/>
      <c r="N49" s="115"/>
      <c r="O49" s="115"/>
      <c r="P49" s="115"/>
      <c r="Q49" s="115"/>
      <c r="R49" s="115"/>
      <c r="S49" s="115"/>
      <c r="T49" s="115"/>
      <c r="U49" s="115"/>
      <c r="V49" s="116"/>
    </row>
    <row r="50" spans="1:22">
      <c r="C50" s="14" t="s">
        <v>639</v>
      </c>
      <c r="D50" s="2"/>
      <c r="E50" s="2" t="s">
        <v>313</v>
      </c>
      <c r="F50" s="2" t="s">
        <v>653</v>
      </c>
      <c r="G50" s="31"/>
      <c r="H50" s="114">
        <v>0.68720266058192769</v>
      </c>
      <c r="I50" s="115">
        <v>0.68720266058192769</v>
      </c>
      <c r="J50" s="115">
        <v>0.68720266058192769</v>
      </c>
      <c r="K50" s="115">
        <v>0.68720266058192769</v>
      </c>
      <c r="L50" s="115">
        <v>0.68720266058192769</v>
      </c>
      <c r="M50" s="115">
        <v>0.7168326310394898</v>
      </c>
      <c r="N50" s="115">
        <v>0.7464626014970519</v>
      </c>
      <c r="O50" s="115">
        <v>0.77609257195461401</v>
      </c>
      <c r="P50" s="115">
        <v>0.80572254241217611</v>
      </c>
      <c r="Q50" s="115">
        <v>0.83535251286973822</v>
      </c>
      <c r="R50" s="115">
        <v>0.86498248332730032</v>
      </c>
      <c r="S50" s="115">
        <v>0.89461245378486243</v>
      </c>
      <c r="T50" s="115">
        <v>0.9242424242424242</v>
      </c>
      <c r="U50" s="115">
        <v>0.9242424242424242</v>
      </c>
      <c r="V50" s="116">
        <v>0.9242424242424242</v>
      </c>
    </row>
    <row r="51" spans="1:22">
      <c r="C51" s="1001" t="s">
        <v>648</v>
      </c>
      <c r="D51" s="2"/>
      <c r="E51" s="2"/>
      <c r="F51" s="2"/>
      <c r="G51" s="31"/>
      <c r="H51" s="114"/>
      <c r="I51" s="115"/>
      <c r="J51" s="115"/>
      <c r="K51" s="115"/>
      <c r="L51" s="115">
        <v>0.53870818606177207</v>
      </c>
      <c r="M51" s="115"/>
      <c r="N51" s="115"/>
      <c r="O51" s="115"/>
      <c r="P51" s="115"/>
      <c r="Q51" s="115"/>
      <c r="R51" s="115"/>
      <c r="S51" s="115"/>
      <c r="T51" s="115"/>
      <c r="U51" s="115"/>
      <c r="V51" s="116"/>
    </row>
    <row r="52" spans="1:22">
      <c r="C52" s="1001" t="s">
        <v>649</v>
      </c>
      <c r="D52" s="2"/>
      <c r="E52" s="2"/>
      <c r="F52" s="2"/>
      <c r="G52" s="31"/>
      <c r="H52" s="114"/>
      <c r="I52" s="115"/>
      <c r="J52" s="115"/>
      <c r="K52" s="115"/>
      <c r="L52" s="115">
        <v>0.14849447452015571</v>
      </c>
      <c r="M52" s="115"/>
      <c r="N52" s="115"/>
      <c r="O52" s="115"/>
      <c r="P52" s="115"/>
      <c r="Q52" s="115"/>
      <c r="R52" s="115"/>
      <c r="S52" s="115"/>
      <c r="T52" s="115"/>
      <c r="U52" s="115"/>
      <c r="V52" s="116"/>
    </row>
    <row r="53" spans="1:22">
      <c r="C53" s="14" t="s">
        <v>416</v>
      </c>
      <c r="D53" s="2"/>
      <c r="E53" s="2"/>
      <c r="F53" s="2"/>
      <c r="G53" s="31"/>
      <c r="H53" s="114">
        <v>0.31279733941807225</v>
      </c>
      <c r="I53" s="115">
        <v>0.31279733941807225</v>
      </c>
      <c r="J53" s="115">
        <v>0.31279733941807225</v>
      </c>
      <c r="K53" s="115">
        <v>0.31279733941807225</v>
      </c>
      <c r="L53" s="115">
        <v>0.31279733941807225</v>
      </c>
      <c r="M53" s="115">
        <v>0.2831673689605102</v>
      </c>
      <c r="N53" s="115">
        <v>0.25353739850294815</v>
      </c>
      <c r="O53" s="115">
        <v>0.2239074280453861</v>
      </c>
      <c r="P53" s="115">
        <v>0.19427745758782405</v>
      </c>
      <c r="Q53" s="115">
        <v>0.164647487130262</v>
      </c>
      <c r="R53" s="115">
        <v>0.13501751667269996</v>
      </c>
      <c r="S53" s="115">
        <v>0.10538754621513789</v>
      </c>
      <c r="T53" s="115">
        <v>7.575757575757576E-2</v>
      </c>
      <c r="U53" s="115">
        <v>7.575757575757576E-2</v>
      </c>
      <c r="V53" s="116">
        <v>7.575757575757576E-2</v>
      </c>
    </row>
    <row r="54" spans="1:22">
      <c r="C54" s="1001" t="s">
        <v>650</v>
      </c>
      <c r="D54" s="2"/>
      <c r="E54" s="2"/>
      <c r="F54" s="2"/>
      <c r="G54" s="31"/>
      <c r="H54" s="114"/>
      <c r="I54" s="115"/>
      <c r="J54" s="115"/>
      <c r="K54" s="115"/>
      <c r="L54" s="115">
        <v>0</v>
      </c>
      <c r="M54" s="115"/>
      <c r="N54" s="115"/>
      <c r="O54" s="115"/>
      <c r="P54" s="115"/>
      <c r="Q54" s="115"/>
      <c r="R54" s="115"/>
      <c r="S54" s="115"/>
      <c r="T54" s="115"/>
      <c r="U54" s="115"/>
      <c r="V54" s="116"/>
    </row>
    <row r="55" spans="1:22">
      <c r="C55" s="1001" t="s">
        <v>651</v>
      </c>
      <c r="D55" s="2"/>
      <c r="E55" s="2"/>
      <c r="F55" s="2"/>
      <c r="G55" s="31"/>
      <c r="H55" s="114"/>
      <c r="I55" s="115"/>
      <c r="J55" s="115"/>
      <c r="K55" s="115"/>
      <c r="L55" s="115">
        <v>1.9909623730481857E-2</v>
      </c>
      <c r="M55" s="115"/>
      <c r="N55" s="115"/>
      <c r="O55" s="115"/>
      <c r="P55" s="115"/>
      <c r="Q55" s="115"/>
      <c r="R55" s="115"/>
      <c r="S55" s="115"/>
      <c r="T55" s="115"/>
      <c r="U55" s="115"/>
      <c r="V55" s="116"/>
    </row>
    <row r="56" spans="1:22">
      <c r="C56" s="1002" t="s">
        <v>652</v>
      </c>
      <c r="D56" s="21"/>
      <c r="E56" s="21"/>
      <c r="F56" s="21"/>
      <c r="G56" s="33"/>
      <c r="H56" s="117"/>
      <c r="I56" s="118"/>
      <c r="J56" s="118"/>
      <c r="K56" s="118"/>
      <c r="L56" s="118">
        <v>0.29288771568759042</v>
      </c>
      <c r="M56" s="118"/>
      <c r="N56" s="118"/>
      <c r="O56" s="118"/>
      <c r="P56" s="118"/>
      <c r="Q56" s="118"/>
      <c r="R56" s="118"/>
      <c r="S56" s="118"/>
      <c r="T56" s="118"/>
      <c r="U56" s="118"/>
      <c r="V56" s="119"/>
    </row>
    <row r="57" spans="1:22">
      <c r="C57" s="285" t="s">
        <v>654</v>
      </c>
    </row>
    <row r="58" spans="1:22">
      <c r="C58" s="1003" t="s">
        <v>655</v>
      </c>
      <c r="D58" s="285"/>
    </row>
    <row r="59" spans="1:22">
      <c r="C59" s="285" t="s">
        <v>656</v>
      </c>
      <c r="D59" s="285"/>
    </row>
    <row r="60" spans="1:22">
      <c r="C60" s="285" t="s">
        <v>657</v>
      </c>
      <c r="D60" s="285"/>
    </row>
    <row r="61" spans="1:22">
      <c r="C61" s="285"/>
      <c r="D61" s="285"/>
    </row>
    <row r="62" spans="1:22">
      <c r="A62" t="s">
        <v>658</v>
      </c>
      <c r="B62" s="94">
        <v>45810</v>
      </c>
      <c r="C62" s="35" t="s">
        <v>659</v>
      </c>
      <c r="D62" s="35"/>
      <c r="E62" s="35"/>
      <c r="H62" s="58"/>
      <c r="N62" s="80"/>
    </row>
    <row r="63" spans="1:22">
      <c r="C63" s="16"/>
      <c r="D63" s="17"/>
      <c r="E63" s="17" t="s">
        <v>281</v>
      </c>
      <c r="F63" s="23" t="s">
        <v>282</v>
      </c>
      <c r="G63" s="2"/>
      <c r="H63" s="156">
        <v>2011</v>
      </c>
      <c r="I63" s="157">
        <v>2012</v>
      </c>
      <c r="J63" s="157">
        <v>2013</v>
      </c>
      <c r="K63" s="157">
        <v>2014</v>
      </c>
      <c r="L63" s="157">
        <v>2015</v>
      </c>
      <c r="M63" s="157">
        <v>2016</v>
      </c>
      <c r="N63" s="45">
        <v>2017</v>
      </c>
      <c r="O63" s="45">
        <v>2018</v>
      </c>
      <c r="P63" s="45">
        <v>2019</v>
      </c>
      <c r="Q63" s="45">
        <v>2020</v>
      </c>
      <c r="R63" s="45">
        <v>2021</v>
      </c>
      <c r="S63" s="45">
        <v>2022</v>
      </c>
      <c r="T63" s="45">
        <v>2023</v>
      </c>
      <c r="U63" s="45">
        <v>2024</v>
      </c>
      <c r="V63" s="46">
        <v>2025</v>
      </c>
    </row>
    <row r="64" spans="1:22">
      <c r="C64" s="60" t="s">
        <v>638</v>
      </c>
      <c r="D64" s="2"/>
      <c r="E64" s="2" t="s">
        <v>294</v>
      </c>
      <c r="F64" s="26"/>
      <c r="G64" s="2"/>
      <c r="H64" s="620">
        <v>431.25</v>
      </c>
      <c r="I64" s="184">
        <v>441.25</v>
      </c>
      <c r="J64" s="184">
        <v>499.25</v>
      </c>
      <c r="K64" s="184">
        <v>393.5</v>
      </c>
      <c r="L64" s="184">
        <v>465.5</v>
      </c>
      <c r="M64" s="179">
        <v>367.5</v>
      </c>
      <c r="N64" s="653">
        <v>329.5</v>
      </c>
      <c r="O64" s="653">
        <v>340.75</v>
      </c>
      <c r="P64" s="653">
        <v>290.25</v>
      </c>
      <c r="Q64" s="653">
        <v>252.5</v>
      </c>
      <c r="R64" s="653">
        <v>134</v>
      </c>
      <c r="S64" s="653">
        <v>58.25</v>
      </c>
      <c r="T64" s="653">
        <v>97.25</v>
      </c>
      <c r="U64" s="179">
        <v>99.5</v>
      </c>
      <c r="V64" s="180">
        <v>105.51431601272535</v>
      </c>
    </row>
    <row r="65" spans="1:22">
      <c r="C65" s="14" t="s">
        <v>639</v>
      </c>
      <c r="D65" s="2"/>
      <c r="E65" s="25" t="s">
        <v>232</v>
      </c>
      <c r="F65" s="26"/>
      <c r="G65" s="2"/>
      <c r="H65" s="621">
        <v>82.860542333772827</v>
      </c>
      <c r="I65" s="622">
        <v>84.781946213976255</v>
      </c>
      <c r="J65" s="622">
        <v>95.926088719156141</v>
      </c>
      <c r="K65" s="622">
        <v>75.607242686004881</v>
      </c>
      <c r="L65" s="622">
        <v>89.44135062346956</v>
      </c>
      <c r="M65" s="618">
        <v>67.948364773403654</v>
      </c>
      <c r="N65" s="622">
        <v>61.978720480813713</v>
      </c>
      <c r="O65" s="622">
        <v>65.187211896907144</v>
      </c>
      <c r="P65" s="622">
        <v>56.456786147794304</v>
      </c>
      <c r="Q65" s="622">
        <v>49.923462953701261</v>
      </c>
      <c r="R65" s="622">
        <v>26.923612160482197</v>
      </c>
      <c r="S65" s="622">
        <v>11.703734390657374</v>
      </c>
      <c r="T65" s="622">
        <v>19.539711064230552</v>
      </c>
      <c r="U65" s="618">
        <v>21.424994462233943</v>
      </c>
      <c r="V65" s="181">
        <v>22.720036545317008</v>
      </c>
    </row>
    <row r="66" spans="1:22">
      <c r="C66" s="14" t="s">
        <v>640</v>
      </c>
      <c r="D66" s="2"/>
      <c r="E66" s="25" t="s">
        <v>232</v>
      </c>
      <c r="F66" s="26"/>
      <c r="G66" s="2"/>
      <c r="H66" s="623">
        <v>368.14070766622712</v>
      </c>
      <c r="I66" s="178">
        <v>376.67730378602369</v>
      </c>
      <c r="J66" s="178">
        <v>426.1895612808438</v>
      </c>
      <c r="K66" s="178">
        <v>335.91505731399502</v>
      </c>
      <c r="L66" s="178">
        <v>397.37854937653037</v>
      </c>
      <c r="M66" s="182">
        <v>301.88746522659636</v>
      </c>
      <c r="N66" s="178">
        <v>275.36496111918626</v>
      </c>
      <c r="O66" s="178">
        <v>289.61995230309287</v>
      </c>
      <c r="P66" s="178">
        <v>250.83158545220564</v>
      </c>
      <c r="Q66" s="178">
        <v>221.80471504629872</v>
      </c>
      <c r="R66" s="178">
        <v>119.61878783951778</v>
      </c>
      <c r="S66" s="178">
        <v>51.998465609342617</v>
      </c>
      <c r="T66" s="178">
        <v>86.812888935769422</v>
      </c>
      <c r="U66" s="182">
        <v>95.18900553776605</v>
      </c>
      <c r="V66" s="183">
        <v>100.94274182159708</v>
      </c>
    </row>
    <row r="67" spans="1:22">
      <c r="C67" s="61" t="s">
        <v>641</v>
      </c>
      <c r="D67" s="19"/>
      <c r="E67" s="19" t="s">
        <v>294</v>
      </c>
      <c r="F67" s="24"/>
      <c r="G67" s="2"/>
      <c r="H67" s="626">
        <v>1293.5</v>
      </c>
      <c r="I67" s="59">
        <v>1126.75</v>
      </c>
      <c r="J67" s="59">
        <v>1263.25</v>
      </c>
      <c r="K67" s="59">
        <v>1149.75</v>
      </c>
      <c r="L67" s="59">
        <v>1464</v>
      </c>
      <c r="M67" s="625">
        <v>1307.5</v>
      </c>
      <c r="N67" s="654">
        <v>1209</v>
      </c>
      <c r="O67" s="654">
        <v>1174.5</v>
      </c>
      <c r="P67" s="654">
        <v>1252.5</v>
      </c>
      <c r="Q67" s="654">
        <v>1044.75</v>
      </c>
      <c r="R67" s="654">
        <v>1081</v>
      </c>
      <c r="S67" s="654">
        <v>898.75</v>
      </c>
      <c r="T67" s="654">
        <v>958.5</v>
      </c>
      <c r="U67" s="625">
        <v>1092.25</v>
      </c>
      <c r="V67" s="635">
        <v>1158.2714740190879</v>
      </c>
    </row>
    <row r="68" spans="1:22">
      <c r="C68" s="14" t="s">
        <v>639</v>
      </c>
      <c r="D68" s="2"/>
      <c r="E68" s="25" t="s">
        <v>232</v>
      </c>
      <c r="F68" s="26"/>
      <c r="G68" s="2"/>
      <c r="H68" s="627">
        <v>888.89664146272344</v>
      </c>
      <c r="I68" s="652">
        <v>774.305597810687</v>
      </c>
      <c r="J68" s="652">
        <v>868.10876098012011</v>
      </c>
      <c r="K68" s="652">
        <v>790.11125900407137</v>
      </c>
      <c r="L68" s="652">
        <v>1006.0646950919421</v>
      </c>
      <c r="M68" s="378">
        <v>937.25866508413287</v>
      </c>
      <c r="N68" s="652">
        <v>902.47328520993574</v>
      </c>
      <c r="O68" s="652">
        <v>911.52072576069418</v>
      </c>
      <c r="P68" s="652">
        <v>1009.1674843712506</v>
      </c>
      <c r="Q68" s="652">
        <v>872.73453782065906</v>
      </c>
      <c r="R68" s="652">
        <v>935.04606447681169</v>
      </c>
      <c r="S68" s="652">
        <v>804.03294283914511</v>
      </c>
      <c r="T68" s="652">
        <v>885.88636363636363</v>
      </c>
      <c r="U68" s="378">
        <v>1009.5037878787879</v>
      </c>
      <c r="V68" s="384">
        <v>1070.5236350782479</v>
      </c>
    </row>
    <row r="69" spans="1:22">
      <c r="C69" s="20" t="s">
        <v>640</v>
      </c>
      <c r="D69" s="21"/>
      <c r="E69" s="22" t="s">
        <v>232</v>
      </c>
      <c r="F69" s="27"/>
      <c r="G69" s="2"/>
      <c r="H69" s="628">
        <v>404.60335853727645</v>
      </c>
      <c r="I69" s="629">
        <v>352.44440218931288</v>
      </c>
      <c r="J69" s="629">
        <v>395.14123901987978</v>
      </c>
      <c r="K69" s="629">
        <v>359.63874099592857</v>
      </c>
      <c r="L69" s="629">
        <v>457.93530490805779</v>
      </c>
      <c r="M69" s="386">
        <v>370.24133491586707</v>
      </c>
      <c r="N69" s="629">
        <v>306.52671479006432</v>
      </c>
      <c r="O69" s="629">
        <v>262.97927423930599</v>
      </c>
      <c r="P69" s="629">
        <v>243.33251562874963</v>
      </c>
      <c r="Q69" s="629">
        <v>172.01546217934123</v>
      </c>
      <c r="R69" s="629">
        <v>145.95393552318865</v>
      </c>
      <c r="S69" s="629">
        <v>94.717057160855177</v>
      </c>
      <c r="T69" s="629">
        <v>72.61363636363636</v>
      </c>
      <c r="U69" s="386">
        <v>82.746212121212125</v>
      </c>
      <c r="V69" s="385">
        <v>87.747838940839998</v>
      </c>
    </row>
    <row r="70" spans="1:22">
      <c r="A70" s="818" t="s">
        <v>572</v>
      </c>
      <c r="C70" s="62" t="s">
        <v>642</v>
      </c>
      <c r="D70" s="63"/>
      <c r="E70" s="63"/>
      <c r="F70" s="64"/>
      <c r="H70" s="655">
        <f>SUM(H66+H69)</f>
        <v>772.74406620350351</v>
      </c>
      <c r="I70" s="656">
        <f t="shared" ref="I70:V70" si="1">SUM(I66+I69)</f>
        <v>729.12170597533657</v>
      </c>
      <c r="J70" s="656">
        <f t="shared" si="1"/>
        <v>821.33080030072358</v>
      </c>
      <c r="K70" s="656">
        <f t="shared" si="1"/>
        <v>695.55379830992365</v>
      </c>
      <c r="L70" s="656">
        <f t="shared" si="1"/>
        <v>855.31385428458816</v>
      </c>
      <c r="M70" s="656">
        <f t="shared" si="1"/>
        <v>672.12880014246343</v>
      </c>
      <c r="N70" s="656">
        <f t="shared" si="1"/>
        <v>581.89167590925058</v>
      </c>
      <c r="O70" s="656">
        <f t="shared" si="1"/>
        <v>552.59922654239881</v>
      </c>
      <c r="P70" s="656">
        <f t="shared" si="1"/>
        <v>494.16410108095528</v>
      </c>
      <c r="Q70" s="656">
        <f t="shared" si="1"/>
        <v>393.82017722563995</v>
      </c>
      <c r="R70" s="656">
        <f t="shared" si="1"/>
        <v>265.57272336270643</v>
      </c>
      <c r="S70" s="656">
        <f t="shared" si="1"/>
        <v>146.71552277019779</v>
      </c>
      <c r="T70" s="656">
        <f t="shared" si="1"/>
        <v>159.4265252994058</v>
      </c>
      <c r="U70" s="656">
        <f t="shared" si="1"/>
        <v>177.93521765897816</v>
      </c>
      <c r="V70" s="657">
        <f t="shared" si="1"/>
        <v>188.69058076243709</v>
      </c>
    </row>
    <row r="71" spans="1:22" ht="15.65" customHeight="1"/>
    <row r="72" spans="1:22" ht="15.65" customHeight="1">
      <c r="C72" s="15" t="s">
        <v>604</v>
      </c>
    </row>
    <row r="73" spans="1:22" ht="15.65" customHeight="1">
      <c r="C73" s="199" t="s">
        <v>599</v>
      </c>
      <c r="D73" s="70"/>
      <c r="E73" s="70" t="s">
        <v>313</v>
      </c>
      <c r="F73" s="29"/>
      <c r="H73" s="663">
        <f>-(N66-T66)/N66</f>
        <v>-0.68473516534954426</v>
      </c>
    </row>
    <row r="74" spans="1:22" ht="15.65" customHeight="1">
      <c r="C74" s="14" t="s">
        <v>600</v>
      </c>
      <c r="E74" t="s">
        <v>313</v>
      </c>
      <c r="F74" s="31"/>
      <c r="H74" s="197">
        <f>-(H66-T66)/H66</f>
        <v>-0.76418557598232828</v>
      </c>
    </row>
    <row r="75" spans="1:22" ht="15.65" customHeight="1">
      <c r="C75" s="14" t="s">
        <v>601</v>
      </c>
      <c r="E75" t="s">
        <v>602</v>
      </c>
      <c r="F75" s="31"/>
      <c r="H75" s="195">
        <f>AVERAGE(Q36:V36)</f>
        <v>843.70846252093145</v>
      </c>
    </row>
    <row r="76" spans="1:22" ht="15.65" customHeight="1">
      <c r="C76" s="20" t="s">
        <v>603</v>
      </c>
      <c r="D76" s="92"/>
      <c r="E76" s="92" t="s">
        <v>602</v>
      </c>
      <c r="F76" s="33"/>
      <c r="H76" s="639">
        <f>AVERAGE(K36:Q36)</f>
        <v>2379.4116477908328</v>
      </c>
    </row>
    <row r="77" spans="1:22" ht="15.65" customHeight="1">
      <c r="C77" s="100"/>
      <c r="H77" s="158"/>
    </row>
    <row r="78" spans="1:22" ht="15.65" customHeight="1">
      <c r="A78" t="s">
        <v>660</v>
      </c>
      <c r="C78" s="15" t="s">
        <v>661</v>
      </c>
      <c r="H78" s="156">
        <v>2011</v>
      </c>
      <c r="I78" s="157">
        <v>2012</v>
      </c>
      <c r="J78" s="157">
        <v>2013</v>
      </c>
      <c r="K78" s="157">
        <v>2014</v>
      </c>
      <c r="L78" s="157">
        <v>2015</v>
      </c>
      <c r="M78" s="157">
        <v>2016</v>
      </c>
      <c r="N78" s="45">
        <v>2017</v>
      </c>
      <c r="O78" s="45">
        <v>2018</v>
      </c>
      <c r="P78" s="45">
        <v>2019</v>
      </c>
      <c r="Q78" s="45">
        <v>2020</v>
      </c>
      <c r="R78" s="45">
        <v>2021</v>
      </c>
      <c r="S78" s="45">
        <v>2022</v>
      </c>
      <c r="T78" s="45">
        <v>2023</v>
      </c>
      <c r="U78" s="45">
        <v>2024</v>
      </c>
      <c r="V78" s="46">
        <v>2025</v>
      </c>
    </row>
    <row r="79" spans="1:22" ht="15.65" customHeight="1">
      <c r="C79" s="199" t="s">
        <v>662</v>
      </c>
      <c r="D79" s="70"/>
      <c r="E79" s="19" t="s">
        <v>294</v>
      </c>
      <c r="F79" s="29"/>
      <c r="H79" s="828">
        <v>12.18</v>
      </c>
      <c r="I79" s="829">
        <v>19.14</v>
      </c>
      <c r="J79" s="829">
        <v>13.92</v>
      </c>
      <c r="K79" s="829">
        <v>23.2</v>
      </c>
      <c r="L79" s="829">
        <v>28.202999999999999</v>
      </c>
      <c r="M79" s="829">
        <v>43.353400000000001</v>
      </c>
      <c r="N79" s="829">
        <v>41.053230000000006</v>
      </c>
      <c r="O79" s="829">
        <v>32.638849</v>
      </c>
      <c r="P79" s="829">
        <v>123.9301272</v>
      </c>
      <c r="Q79" s="829">
        <v>79.360587249999995</v>
      </c>
      <c r="R79" s="829">
        <v>272.78500000000003</v>
      </c>
      <c r="S79" s="829">
        <v>242.08</v>
      </c>
      <c r="T79" s="829">
        <v>231.4</v>
      </c>
      <c r="U79" s="829">
        <v>250.66</v>
      </c>
      <c r="V79" s="830">
        <v>257.20333333333332</v>
      </c>
    </row>
    <row r="80" spans="1:22" ht="15.65" customHeight="1">
      <c r="C80" s="14" t="s">
        <v>663</v>
      </c>
      <c r="E80" s="25" t="s">
        <v>232</v>
      </c>
      <c r="F80" s="31"/>
      <c r="H80" s="30">
        <v>0</v>
      </c>
      <c r="I80">
        <v>0</v>
      </c>
      <c r="J80">
        <v>25.38</v>
      </c>
      <c r="K80">
        <v>0.54</v>
      </c>
      <c r="L80">
        <v>1.5629999999999999</v>
      </c>
      <c r="M80">
        <v>0</v>
      </c>
      <c r="N80">
        <v>0</v>
      </c>
      <c r="O80">
        <v>1.898636</v>
      </c>
      <c r="P80">
        <v>0.92438620000000005</v>
      </c>
      <c r="Q80">
        <v>0</v>
      </c>
      <c r="R80">
        <v>0</v>
      </c>
      <c r="S80">
        <v>0</v>
      </c>
      <c r="T80">
        <v>0</v>
      </c>
      <c r="U80">
        <v>0</v>
      </c>
      <c r="V80" s="31">
        <v>0</v>
      </c>
    </row>
    <row r="81" spans="1:34" ht="15.65" customHeight="1">
      <c r="C81" s="14" t="s">
        <v>664</v>
      </c>
      <c r="E81" s="25" t="s">
        <v>232</v>
      </c>
      <c r="F81" s="31"/>
      <c r="H81" s="30">
        <v>109</v>
      </c>
      <c r="I81">
        <v>85</v>
      </c>
      <c r="J81">
        <v>89</v>
      </c>
      <c r="K81">
        <v>20</v>
      </c>
      <c r="L81">
        <v>190</v>
      </c>
      <c r="M81">
        <v>208</v>
      </c>
      <c r="N81">
        <v>289</v>
      </c>
      <c r="O81">
        <v>257</v>
      </c>
      <c r="P81">
        <v>461</v>
      </c>
      <c r="Q81">
        <v>664</v>
      </c>
      <c r="R81">
        <v>1062</v>
      </c>
      <c r="S81">
        <v>949</v>
      </c>
      <c r="T81">
        <v>880</v>
      </c>
      <c r="U81">
        <v>785</v>
      </c>
      <c r="V81" s="31">
        <v>973.47319347319342</v>
      </c>
    </row>
    <row r="82" spans="1:34" ht="15.65" customHeight="1">
      <c r="C82" s="14" t="s">
        <v>665</v>
      </c>
      <c r="F82" s="31"/>
      <c r="H82" s="30">
        <f>H66</f>
        <v>368.14070766622712</v>
      </c>
      <c r="I82" s="158">
        <f t="shared" ref="I82:V82" si="2">I66</f>
        <v>376.67730378602369</v>
      </c>
      <c r="J82" s="158">
        <f t="shared" si="2"/>
        <v>426.1895612808438</v>
      </c>
      <c r="K82" s="158">
        <f t="shared" si="2"/>
        <v>335.91505731399502</v>
      </c>
      <c r="L82" s="158">
        <f t="shared" si="2"/>
        <v>397.37854937653037</v>
      </c>
      <c r="M82" s="158">
        <f t="shared" si="2"/>
        <v>301.88746522659636</v>
      </c>
      <c r="N82" s="158">
        <f t="shared" si="2"/>
        <v>275.36496111918626</v>
      </c>
      <c r="O82" s="158">
        <f t="shared" si="2"/>
        <v>289.61995230309287</v>
      </c>
      <c r="P82" s="158">
        <f t="shared" si="2"/>
        <v>250.83158545220564</v>
      </c>
      <c r="Q82" s="158">
        <f t="shared" si="2"/>
        <v>221.80471504629872</v>
      </c>
      <c r="R82" s="158">
        <f t="shared" si="2"/>
        <v>119.61878783951778</v>
      </c>
      <c r="S82" s="158">
        <f t="shared" si="2"/>
        <v>51.998465609342617</v>
      </c>
      <c r="T82" s="158">
        <f t="shared" si="2"/>
        <v>86.812888935769422</v>
      </c>
      <c r="U82" s="158">
        <f t="shared" si="2"/>
        <v>95.18900553776605</v>
      </c>
      <c r="V82" s="51">
        <f t="shared" si="2"/>
        <v>100.94274182159708</v>
      </c>
    </row>
    <row r="83" spans="1:34" ht="15.65" customHeight="1">
      <c r="C83" s="20" t="s">
        <v>666</v>
      </c>
      <c r="D83" s="92"/>
      <c r="E83" s="92"/>
      <c r="F83" s="33"/>
      <c r="H83" s="341">
        <f>H69</f>
        <v>404.60335853727645</v>
      </c>
      <c r="I83" s="32">
        <f t="shared" ref="I83:V83" si="3">I69</f>
        <v>352.44440218931288</v>
      </c>
      <c r="J83" s="32">
        <f t="shared" si="3"/>
        <v>395.14123901987978</v>
      </c>
      <c r="K83" s="32">
        <f t="shared" si="3"/>
        <v>359.63874099592857</v>
      </c>
      <c r="L83" s="32">
        <f t="shared" si="3"/>
        <v>457.93530490805779</v>
      </c>
      <c r="M83" s="32">
        <f t="shared" si="3"/>
        <v>370.24133491586707</v>
      </c>
      <c r="N83" s="32">
        <f t="shared" si="3"/>
        <v>306.52671479006432</v>
      </c>
      <c r="O83" s="32">
        <f t="shared" si="3"/>
        <v>262.97927423930599</v>
      </c>
      <c r="P83" s="32">
        <f t="shared" si="3"/>
        <v>243.33251562874963</v>
      </c>
      <c r="Q83" s="32">
        <f t="shared" si="3"/>
        <v>172.01546217934123</v>
      </c>
      <c r="R83" s="32">
        <f t="shared" si="3"/>
        <v>145.95393552318865</v>
      </c>
      <c r="S83" s="32">
        <f t="shared" si="3"/>
        <v>94.717057160855177</v>
      </c>
      <c r="T83" s="32">
        <f t="shared" si="3"/>
        <v>72.61363636363636</v>
      </c>
      <c r="U83" s="32">
        <f t="shared" si="3"/>
        <v>82.746212121212125</v>
      </c>
      <c r="V83" s="305">
        <f t="shared" si="3"/>
        <v>87.747838940839998</v>
      </c>
    </row>
    <row r="84" spans="1:34" ht="15.65" customHeight="1">
      <c r="C84" s="299" t="s">
        <v>241</v>
      </c>
      <c r="D84" s="63"/>
      <c r="E84" s="63"/>
      <c r="F84" s="64"/>
      <c r="H84" s="831">
        <f>SUM(H79:H83)</f>
        <v>893.92406620350357</v>
      </c>
      <c r="I84" s="185">
        <f t="shared" ref="I84:V84" si="4">SUM(I79:I83)</f>
        <v>833.26170597533655</v>
      </c>
      <c r="J84" s="185">
        <f t="shared" si="4"/>
        <v>949.63080030072365</v>
      </c>
      <c r="K84" s="185">
        <f t="shared" si="4"/>
        <v>739.29379830992366</v>
      </c>
      <c r="L84" s="185">
        <f t="shared" si="4"/>
        <v>1075.0798542845882</v>
      </c>
      <c r="M84" s="185">
        <f t="shared" si="4"/>
        <v>923.4822001424634</v>
      </c>
      <c r="N84" s="185">
        <f t="shared" si="4"/>
        <v>911.94490590925056</v>
      </c>
      <c r="O84" s="185">
        <f t="shared" si="4"/>
        <v>844.13671154239887</v>
      </c>
      <c r="P84" s="185">
        <f t="shared" si="4"/>
        <v>1080.0186144809552</v>
      </c>
      <c r="Q84" s="185">
        <f t="shared" si="4"/>
        <v>1137.18076447564</v>
      </c>
      <c r="R84" s="185">
        <f t="shared" si="4"/>
        <v>1600.3577233627066</v>
      </c>
      <c r="S84" s="185">
        <f t="shared" si="4"/>
        <v>1337.7955227701977</v>
      </c>
      <c r="T84" s="185">
        <f t="shared" si="4"/>
        <v>1270.8265252994058</v>
      </c>
      <c r="U84" s="185">
        <f t="shared" si="4"/>
        <v>1213.5952176589781</v>
      </c>
      <c r="V84" s="832">
        <f t="shared" si="4"/>
        <v>1419.3671075689638</v>
      </c>
    </row>
    <row r="85" spans="1:34" ht="15.65" customHeight="1">
      <c r="C85" s="100"/>
      <c r="H85" s="158"/>
    </row>
    <row r="86" spans="1:34" s="8" customFormat="1" ht="21">
      <c r="C86" s="9" t="s">
        <v>667</v>
      </c>
      <c r="P86" s="10"/>
    </row>
    <row r="87" spans="1:34" ht="15.65" customHeight="1">
      <c r="C87" s="100"/>
      <c r="H87" s="158"/>
    </row>
    <row r="88" spans="1:34" ht="15.65" customHeight="1">
      <c r="C88" s="100" t="s">
        <v>1266</v>
      </c>
      <c r="H88" s="158"/>
    </row>
    <row r="89" spans="1:34" ht="15.5" customHeight="1">
      <c r="C89" s="100"/>
      <c r="H89" s="158"/>
    </row>
    <row r="90" spans="1:34" ht="15.5" customHeight="1">
      <c r="C90" s="100" t="s">
        <v>1267</v>
      </c>
      <c r="H90" s="158"/>
    </row>
    <row r="91" spans="1:34" ht="15.5" customHeight="1">
      <c r="C91" s="100"/>
      <c r="H91" s="158"/>
    </row>
    <row r="92" spans="1:34" ht="15.5" customHeight="1">
      <c r="C92" s="303" t="s">
        <v>1268</v>
      </c>
      <c r="H92" s="44">
        <v>2024</v>
      </c>
      <c r="I92" s="45">
        <v>2025</v>
      </c>
      <c r="J92" s="45">
        <v>2026</v>
      </c>
      <c r="K92" s="45">
        <v>2027</v>
      </c>
      <c r="L92" s="45">
        <v>2028</v>
      </c>
      <c r="M92" s="45">
        <v>2029</v>
      </c>
      <c r="N92" s="45">
        <v>2030</v>
      </c>
      <c r="O92" s="45">
        <v>2031</v>
      </c>
      <c r="P92" s="45">
        <v>2032</v>
      </c>
      <c r="Q92" s="45">
        <v>2033</v>
      </c>
      <c r="R92" s="45">
        <v>2034</v>
      </c>
      <c r="S92" s="45">
        <v>2035</v>
      </c>
      <c r="T92" s="45">
        <v>2036</v>
      </c>
      <c r="U92" s="45">
        <v>2037</v>
      </c>
      <c r="V92" s="45">
        <v>2038</v>
      </c>
      <c r="W92" s="45">
        <v>2039</v>
      </c>
      <c r="X92" s="45">
        <v>2040</v>
      </c>
      <c r="Y92" s="45">
        <v>2041</v>
      </c>
      <c r="Z92" s="45">
        <v>2042</v>
      </c>
      <c r="AA92" s="45">
        <v>2043</v>
      </c>
      <c r="AB92" s="45">
        <v>2044</v>
      </c>
      <c r="AC92" s="45">
        <v>2045</v>
      </c>
      <c r="AD92" s="45">
        <v>2046</v>
      </c>
      <c r="AE92" s="45">
        <v>2047</v>
      </c>
      <c r="AF92" s="45">
        <v>2048</v>
      </c>
      <c r="AG92" s="45">
        <v>2049</v>
      </c>
      <c r="AH92" s="46">
        <v>2050</v>
      </c>
    </row>
    <row r="93" spans="1:34" ht="15.65" customHeight="1">
      <c r="C93" s="16" t="s">
        <v>1218</v>
      </c>
      <c r="D93" s="63"/>
      <c r="E93" s="63"/>
      <c r="F93" s="191" t="s">
        <v>868</v>
      </c>
      <c r="H93" s="1488">
        <f>U66</f>
        <v>95.18900553776605</v>
      </c>
      <c r="I93" s="335">
        <f>H93-($H$93-$S$93)/($S$92-$H$92)</f>
        <v>86.535459579787315</v>
      </c>
      <c r="J93" s="335">
        <f t="shared" ref="J93:R93" si="5">I93-($H$93-$S$93)/($S$92-$H$92)</f>
        <v>77.881913621808579</v>
      </c>
      <c r="K93" s="335">
        <f t="shared" si="5"/>
        <v>69.228367663829843</v>
      </c>
      <c r="L93" s="335">
        <f t="shared" si="5"/>
        <v>60.574821705851107</v>
      </c>
      <c r="M93" s="335">
        <f t="shared" si="5"/>
        <v>51.921275747872372</v>
      </c>
      <c r="N93" s="335">
        <f t="shared" si="5"/>
        <v>43.267729789893636</v>
      </c>
      <c r="O93" s="335">
        <f t="shared" si="5"/>
        <v>34.6141838319149</v>
      </c>
      <c r="P93" s="335">
        <f t="shared" si="5"/>
        <v>25.960637873936168</v>
      </c>
      <c r="Q93" s="335">
        <f t="shared" si="5"/>
        <v>17.307091915957436</v>
      </c>
      <c r="R93" s="335">
        <f t="shared" si="5"/>
        <v>8.6535459579787037</v>
      </c>
      <c r="S93" s="70">
        <v>0</v>
      </c>
      <c r="T93" s="70">
        <v>0</v>
      </c>
      <c r="U93" s="70">
        <v>0</v>
      </c>
      <c r="V93" s="70">
        <v>0</v>
      </c>
      <c r="W93" s="70">
        <v>0</v>
      </c>
      <c r="X93" s="70">
        <v>0</v>
      </c>
      <c r="Y93" s="70">
        <v>0</v>
      </c>
      <c r="Z93" s="70">
        <v>0</v>
      </c>
      <c r="AA93" s="70">
        <v>0</v>
      </c>
      <c r="AB93" s="70">
        <v>0</v>
      </c>
      <c r="AC93" s="70">
        <v>0</v>
      </c>
      <c r="AD93" s="70">
        <v>0</v>
      </c>
      <c r="AE93" s="70">
        <v>0</v>
      </c>
      <c r="AF93" s="70">
        <v>0</v>
      </c>
      <c r="AG93" s="70">
        <v>0</v>
      </c>
      <c r="AH93" s="29">
        <v>0</v>
      </c>
    </row>
    <row r="94" spans="1:34" ht="15.65" customHeight="1">
      <c r="C94" s="16" t="s">
        <v>1219</v>
      </c>
      <c r="D94" s="63"/>
      <c r="E94" s="63"/>
      <c r="F94" s="191"/>
      <c r="H94" s="30">
        <f>U69</f>
        <v>82.746212121212125</v>
      </c>
      <c r="I94">
        <f>H94-($H$94-$AH$94)/($AH$92-$H$92)</f>
        <v>79.881920163170165</v>
      </c>
      <c r="J94">
        <f t="shared" ref="J94:AG94" si="6">I94-($H$94-$AH$94)/($AH$92-$H$92)</f>
        <v>77.017628205128204</v>
      </c>
      <c r="K94">
        <f t="shared" si="6"/>
        <v>74.153336247086244</v>
      </c>
      <c r="L94">
        <f t="shared" si="6"/>
        <v>71.289044289044284</v>
      </c>
      <c r="M94">
        <f t="shared" si="6"/>
        <v>68.424752331002324</v>
      </c>
      <c r="N94">
        <f t="shared" si="6"/>
        <v>65.560460372960364</v>
      </c>
      <c r="O94">
        <f t="shared" si="6"/>
        <v>62.696168414918404</v>
      </c>
      <c r="P94">
        <f t="shared" si="6"/>
        <v>59.831876456876444</v>
      </c>
      <c r="Q94">
        <f t="shared" si="6"/>
        <v>56.967584498834483</v>
      </c>
      <c r="R94">
        <f t="shared" si="6"/>
        <v>54.103292540792523</v>
      </c>
      <c r="S94">
        <f t="shared" si="6"/>
        <v>51.239000582750563</v>
      </c>
      <c r="T94">
        <f t="shared" si="6"/>
        <v>48.374708624708603</v>
      </c>
      <c r="U94">
        <f t="shared" si="6"/>
        <v>45.510416666666643</v>
      </c>
      <c r="V94">
        <f t="shared" si="6"/>
        <v>42.646124708624683</v>
      </c>
      <c r="W94">
        <f t="shared" si="6"/>
        <v>39.781832750582723</v>
      </c>
      <c r="X94">
        <f t="shared" si="6"/>
        <v>36.917540792540763</v>
      </c>
      <c r="Y94">
        <f t="shared" si="6"/>
        <v>34.053248834498802</v>
      </c>
      <c r="Z94">
        <f t="shared" si="6"/>
        <v>31.188956876456846</v>
      </c>
      <c r="AA94">
        <f t="shared" si="6"/>
        <v>28.324664918414889</v>
      </c>
      <c r="AB94">
        <f t="shared" si="6"/>
        <v>25.460372960372933</v>
      </c>
      <c r="AC94">
        <f t="shared" si="6"/>
        <v>22.596081002330976</v>
      </c>
      <c r="AD94">
        <f t="shared" si="6"/>
        <v>19.73178904428902</v>
      </c>
      <c r="AE94">
        <f t="shared" si="6"/>
        <v>16.867497086247063</v>
      </c>
      <c r="AF94">
        <f t="shared" si="6"/>
        <v>14.003205128205105</v>
      </c>
      <c r="AG94">
        <f t="shared" si="6"/>
        <v>11.138913170163146</v>
      </c>
      <c r="AH94" s="31">
        <f>10%*H94</f>
        <v>8.2746212121212128</v>
      </c>
    </row>
    <row r="95" spans="1:34" ht="15.65" customHeight="1">
      <c r="A95" t="s">
        <v>1221</v>
      </c>
      <c r="C95" s="299" t="s">
        <v>1220</v>
      </c>
      <c r="D95" s="63"/>
      <c r="E95" s="63"/>
      <c r="F95" s="191"/>
      <c r="H95" s="341"/>
      <c r="I95" s="92">
        <f>I93+I94</f>
        <v>166.41737974295748</v>
      </c>
      <c r="J95" s="92">
        <f t="shared" ref="J95:AH95" si="7">J93+J94</f>
        <v>154.8995418269368</v>
      </c>
      <c r="K95" s="92">
        <f t="shared" si="7"/>
        <v>143.38170391091609</v>
      </c>
      <c r="L95" s="92">
        <f t="shared" si="7"/>
        <v>131.86386599489538</v>
      </c>
      <c r="M95" s="92">
        <f t="shared" si="7"/>
        <v>120.3460280788747</v>
      </c>
      <c r="N95" s="92">
        <f t="shared" si="7"/>
        <v>108.828190162854</v>
      </c>
      <c r="O95" s="92">
        <f t="shared" si="7"/>
        <v>97.310352246833304</v>
      </c>
      <c r="P95" s="92">
        <f t="shared" si="7"/>
        <v>85.792514330812608</v>
      </c>
      <c r="Q95" s="92">
        <f t="shared" si="7"/>
        <v>74.274676414791912</v>
      </c>
      <c r="R95" s="92">
        <f t="shared" si="7"/>
        <v>62.756838498771231</v>
      </c>
      <c r="S95" s="92">
        <f t="shared" si="7"/>
        <v>51.239000582750563</v>
      </c>
      <c r="T95" s="92">
        <f t="shared" si="7"/>
        <v>48.374708624708603</v>
      </c>
      <c r="U95" s="92">
        <f t="shared" si="7"/>
        <v>45.510416666666643</v>
      </c>
      <c r="V95" s="92">
        <f t="shared" si="7"/>
        <v>42.646124708624683</v>
      </c>
      <c r="W95" s="92">
        <f t="shared" si="7"/>
        <v>39.781832750582723</v>
      </c>
      <c r="X95" s="92">
        <f t="shared" si="7"/>
        <v>36.917540792540763</v>
      </c>
      <c r="Y95" s="92">
        <f t="shared" si="7"/>
        <v>34.053248834498802</v>
      </c>
      <c r="Z95" s="92">
        <f t="shared" si="7"/>
        <v>31.188956876456846</v>
      </c>
      <c r="AA95" s="92">
        <f t="shared" si="7"/>
        <v>28.324664918414889</v>
      </c>
      <c r="AB95" s="92">
        <f t="shared" si="7"/>
        <v>25.460372960372933</v>
      </c>
      <c r="AC95" s="92">
        <f t="shared" si="7"/>
        <v>22.596081002330976</v>
      </c>
      <c r="AD95" s="92">
        <f t="shared" si="7"/>
        <v>19.73178904428902</v>
      </c>
      <c r="AE95" s="92">
        <f t="shared" si="7"/>
        <v>16.867497086247063</v>
      </c>
      <c r="AF95" s="92">
        <f t="shared" si="7"/>
        <v>14.003205128205105</v>
      </c>
      <c r="AG95" s="92">
        <f t="shared" si="7"/>
        <v>11.138913170163146</v>
      </c>
      <c r="AH95" s="33">
        <f t="shared" si="7"/>
        <v>8.2746212121212128</v>
      </c>
    </row>
    <row r="96" spans="1:34" ht="22.5" customHeight="1"/>
    <row r="97" spans="1:3">
      <c r="A97" s="120" t="s">
        <v>1248</v>
      </c>
      <c r="C97" t="s">
        <v>1192</v>
      </c>
    </row>
    <row r="98" spans="1:3" ht="22.5" customHeight="1"/>
    <row r="99" spans="1:3" ht="22.5" customHeight="1"/>
    <row r="100" spans="1:3" ht="22.5" customHeight="1"/>
    <row r="101" spans="1:3" ht="22.5" customHeight="1"/>
    <row r="102" spans="1:3" ht="22.5" customHeight="1"/>
  </sheetData>
  <hyperlinks>
    <hyperlink ref="A97" r:id="rId1" display="https://www.ecologie.gouv.fr/politiques-publiques/3e-strategie-nationale-bas-carbone-snbc-3" xr:uid="{F028726D-E5CC-4848-BFB0-F045ADB47392}"/>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3D892-7C97-4A70-8311-1E9FC87C74A0}">
  <dimension ref="A1:GJ253"/>
  <sheetViews>
    <sheetView showGridLines="0" topLeftCell="B189" zoomScale="47" zoomScaleNormal="55" workbookViewId="0">
      <selection activeCell="C201" sqref="C201"/>
    </sheetView>
  </sheetViews>
  <sheetFormatPr baseColWidth="10" defaultColWidth="11.453125" defaultRowHeight="14"/>
  <cols>
    <col min="1" max="1" width="20.1796875" style="445" customWidth="1"/>
    <col min="2" max="2" width="13.453125" style="445" customWidth="1"/>
    <col min="3" max="3" width="11.54296875" style="445" bestFit="1" customWidth="1"/>
    <col min="4" max="4" width="14.7265625" style="445" bestFit="1" customWidth="1"/>
    <col min="5" max="5" width="15.1796875" style="445" customWidth="1"/>
    <col min="6" max="6" width="11.81640625" style="445" bestFit="1" customWidth="1"/>
    <col min="7" max="8" width="14.1796875" style="445" bestFit="1" customWidth="1"/>
    <col min="9" max="9" width="17.1796875" style="445" bestFit="1" customWidth="1"/>
    <col min="10" max="11" width="12.54296875" style="445" bestFit="1" customWidth="1"/>
    <col min="12" max="20" width="11.81640625" style="445" bestFit="1" customWidth="1"/>
    <col min="21" max="47" width="11.54296875" style="445" bestFit="1" customWidth="1"/>
    <col min="48" max="16384" width="11.453125" style="445"/>
  </cols>
  <sheetData>
    <row r="1" spans="1:20" ht="14.5">
      <c r="A1" s="699" t="s">
        <v>264</v>
      </c>
      <c r="B1" s="699" t="s">
        <v>265</v>
      </c>
      <c r="C1" s="708" t="s">
        <v>740</v>
      </c>
      <c r="H1" s="700">
        <v>2011</v>
      </c>
      <c r="I1" s="701">
        <v>2012</v>
      </c>
      <c r="J1" s="701">
        <v>2013</v>
      </c>
      <c r="K1" s="701">
        <v>2014</v>
      </c>
      <c r="L1" s="701">
        <v>2015</v>
      </c>
      <c r="M1" s="701">
        <v>2016</v>
      </c>
      <c r="N1" s="701">
        <v>2017</v>
      </c>
      <c r="O1" s="701">
        <v>2018</v>
      </c>
      <c r="P1" s="701">
        <v>2019</v>
      </c>
      <c r="Q1" s="701">
        <v>2020</v>
      </c>
      <c r="R1" s="701">
        <v>2021</v>
      </c>
      <c r="S1" s="701">
        <v>2022</v>
      </c>
      <c r="T1" s="702">
        <v>2023</v>
      </c>
    </row>
    <row r="3" spans="1:20">
      <c r="C3" s="703" t="s">
        <v>267</v>
      </c>
    </row>
    <row r="4" spans="1:20">
      <c r="C4" s="704" t="s">
        <v>741</v>
      </c>
    </row>
    <row r="5" spans="1:20">
      <c r="C5" s="703"/>
    </row>
    <row r="6" spans="1:20">
      <c r="C6" s="703" t="s">
        <v>269</v>
      </c>
    </row>
    <row r="7" spans="1:20">
      <c r="C7" s="703"/>
    </row>
    <row r="8" spans="1:20">
      <c r="C8" s="703"/>
    </row>
    <row r="9" spans="1:20">
      <c r="C9" s="703"/>
    </row>
    <row r="10" spans="1:20">
      <c r="C10" s="703"/>
    </row>
    <row r="11" spans="1:20">
      <c r="C11" s="703"/>
    </row>
    <row r="12" spans="1:20">
      <c r="C12" s="703"/>
    </row>
    <row r="13" spans="1:20">
      <c r="C13" s="703"/>
    </row>
    <row r="14" spans="1:20">
      <c r="C14" s="703"/>
    </row>
    <row r="15" spans="1:20">
      <c r="C15" s="703"/>
    </row>
    <row r="16" spans="1:20">
      <c r="C16" s="703"/>
    </row>
    <row r="17" spans="3:16">
      <c r="C17" s="703"/>
    </row>
    <row r="18" spans="3:16">
      <c r="C18" s="703"/>
    </row>
    <row r="19" spans="3:16">
      <c r="C19" s="703"/>
    </row>
    <row r="20" spans="3:16">
      <c r="C20" s="703"/>
    </row>
    <row r="21" spans="3:16">
      <c r="C21" s="703"/>
    </row>
    <row r="22" spans="3:16">
      <c r="C22" s="703"/>
    </row>
    <row r="23" spans="3:16">
      <c r="C23" s="703"/>
    </row>
    <row r="24" spans="3:16">
      <c r="C24" s="703"/>
    </row>
    <row r="25" spans="3:16">
      <c r="C25" s="703"/>
    </row>
    <row r="26" spans="3:16">
      <c r="C26" s="703"/>
    </row>
    <row r="27" spans="3:16">
      <c r="C27" s="703"/>
    </row>
    <row r="28" spans="3:16">
      <c r="C28" s="703"/>
    </row>
    <row r="29" spans="3:16">
      <c r="C29" s="703"/>
    </row>
    <row r="30" spans="3:16" s="705" customFormat="1">
      <c r="C30" s="794" t="s">
        <v>582</v>
      </c>
      <c r="P30" s="706"/>
    </row>
    <row r="31" spans="3:16">
      <c r="N31" s="707"/>
    </row>
    <row r="32" spans="3:16">
      <c r="C32" s="1180" t="s">
        <v>1093</v>
      </c>
      <c r="N32" s="707"/>
    </row>
    <row r="33" spans="1:20">
      <c r="N33" s="707"/>
    </row>
    <row r="34" spans="1:20">
      <c r="C34" s="445" t="s">
        <v>742</v>
      </c>
      <c r="N34" s="707"/>
    </row>
    <row r="35" spans="1:20">
      <c r="N35" s="707"/>
    </row>
    <row r="36" spans="1:20">
      <c r="A36" s="445" t="s">
        <v>743</v>
      </c>
      <c r="B36" s="725">
        <v>45663</v>
      </c>
      <c r="C36" s="708" t="s">
        <v>744</v>
      </c>
      <c r="H36" s="709"/>
      <c r="N36" s="710"/>
    </row>
    <row r="37" spans="1:20">
      <c r="C37" s="711"/>
      <c r="D37" s="712"/>
      <c r="E37" s="712" t="s">
        <v>281</v>
      </c>
      <c r="F37" s="713" t="s">
        <v>282</v>
      </c>
      <c r="G37" s="446"/>
      <c r="H37" s="714">
        <v>2011</v>
      </c>
      <c r="I37" s="715">
        <v>2012</v>
      </c>
      <c r="J37" s="715">
        <v>2013</v>
      </c>
      <c r="K37" s="715">
        <v>2014</v>
      </c>
      <c r="L37" s="715">
        <v>2015</v>
      </c>
      <c r="M37" s="715">
        <v>2016</v>
      </c>
      <c r="N37" s="716">
        <v>2017</v>
      </c>
      <c r="O37" s="716">
        <v>2018</v>
      </c>
      <c r="P37" s="716">
        <v>2019</v>
      </c>
      <c r="Q37" s="716">
        <v>2020</v>
      </c>
      <c r="R37" s="716">
        <v>2021</v>
      </c>
      <c r="S37" s="716">
        <v>2022</v>
      </c>
      <c r="T37" s="717">
        <v>2023</v>
      </c>
    </row>
    <row r="38" spans="1:20">
      <c r="C38" s="718" t="s">
        <v>745</v>
      </c>
      <c r="D38" s="719"/>
      <c r="E38" s="719" t="s">
        <v>294</v>
      </c>
      <c r="F38" s="720"/>
      <c r="G38" s="446"/>
      <c r="H38" s="721">
        <v>10800</v>
      </c>
      <c r="I38" s="722">
        <v>11529</v>
      </c>
      <c r="J38" s="722">
        <v>11375</v>
      </c>
      <c r="K38" s="722">
        <v>9713</v>
      </c>
      <c r="L38" s="722">
        <v>8703</v>
      </c>
      <c r="M38" s="723">
        <v>7985</v>
      </c>
      <c r="N38" s="723">
        <v>7979</v>
      </c>
      <c r="O38" s="723">
        <v>8499</v>
      </c>
      <c r="P38" s="723">
        <v>9018</v>
      </c>
      <c r="Q38" s="723">
        <v>8278</v>
      </c>
      <c r="R38" s="723">
        <v>8812.9424529999997</v>
      </c>
      <c r="S38" s="723">
        <v>9067.6014577000005</v>
      </c>
      <c r="T38" s="724">
        <v>9202.8793564000007</v>
      </c>
    </row>
    <row r="39" spans="1:20">
      <c r="B39" s="725"/>
      <c r="C39" s="726" t="s">
        <v>746</v>
      </c>
      <c r="D39" s="446"/>
      <c r="E39" s="727" t="s">
        <v>232</v>
      </c>
      <c r="F39" s="728"/>
      <c r="G39" s="727"/>
      <c r="H39" s="729">
        <v>8955</v>
      </c>
      <c r="I39" s="730">
        <v>9233</v>
      </c>
      <c r="J39" s="730">
        <v>9566</v>
      </c>
      <c r="K39" s="730">
        <v>8108</v>
      </c>
      <c r="L39" s="730">
        <v>7164</v>
      </c>
      <c r="M39" s="731">
        <v>6575</v>
      </c>
      <c r="N39" s="731">
        <v>6956</v>
      </c>
      <c r="O39" s="731">
        <v>7346</v>
      </c>
      <c r="P39" s="731">
        <v>8065</v>
      </c>
      <c r="Q39" s="731">
        <v>7241</v>
      </c>
      <c r="R39" s="731">
        <v>7602.2499889999999</v>
      </c>
      <c r="S39" s="731">
        <v>7803.8633269000002</v>
      </c>
      <c r="T39" s="732">
        <v>7566.8793564000007</v>
      </c>
    </row>
    <row r="40" spans="1:20" ht="14.5">
      <c r="C40" s="73" t="s">
        <v>747</v>
      </c>
      <c r="D40" s="446"/>
      <c r="E40" s="727" t="s">
        <v>232</v>
      </c>
      <c r="F40" s="728"/>
      <c r="G40" s="727"/>
      <c r="H40" s="729">
        <v>3813.4277530235518</v>
      </c>
      <c r="I40" s="730">
        <v>4828.0449535962871</v>
      </c>
      <c r="J40" s="730">
        <v>4540.3107822410147</v>
      </c>
      <c r="K40" s="730">
        <v>4198.7219039224328</v>
      </c>
      <c r="L40" s="730">
        <v>3382.6790322580646</v>
      </c>
      <c r="M40" s="731">
        <v>3031.2937828371278</v>
      </c>
      <c r="N40" s="731">
        <v>3368.854332552693</v>
      </c>
      <c r="O40" s="731">
        <v>3337.2490149724194</v>
      </c>
      <c r="P40" s="731">
        <v>3273.400766609881</v>
      </c>
      <c r="Q40" s="731">
        <v>3141.8062761506276</v>
      </c>
      <c r="R40" s="731">
        <v>3478.5037107881262</v>
      </c>
      <c r="S40" s="731">
        <v>3511.3244193356495</v>
      </c>
      <c r="T40" s="732">
        <v>4587.6411061223453</v>
      </c>
    </row>
    <row r="41" spans="1:20" ht="14.5">
      <c r="C41" s="73" t="s">
        <v>748</v>
      </c>
      <c r="D41" s="446"/>
      <c r="E41" s="727" t="s">
        <v>232</v>
      </c>
      <c r="F41" s="728"/>
      <c r="G41" s="727"/>
      <c r="H41" s="729">
        <v>5141.5722469764478</v>
      </c>
      <c r="I41" s="730">
        <v>4404.9550464037129</v>
      </c>
      <c r="J41" s="730">
        <v>5025.6892177589853</v>
      </c>
      <c r="K41" s="730">
        <v>3909.2780960775672</v>
      </c>
      <c r="L41" s="730">
        <v>3781.3209677419354</v>
      </c>
      <c r="M41" s="731">
        <v>3543.7062171628722</v>
      </c>
      <c r="N41" s="731">
        <v>3587.145667447307</v>
      </c>
      <c r="O41" s="731">
        <v>4008.7509850275806</v>
      </c>
      <c r="P41" s="731">
        <v>4791.5992333901195</v>
      </c>
      <c r="Q41" s="731">
        <v>4099.193723849372</v>
      </c>
      <c r="R41" s="731">
        <v>4123.7462782118737</v>
      </c>
      <c r="S41" s="731">
        <v>4292.5389075643507</v>
      </c>
      <c r="T41" s="732">
        <v>2979.2382502776554</v>
      </c>
    </row>
    <row r="42" spans="1:20">
      <c r="C42" s="733" t="s">
        <v>324</v>
      </c>
      <c r="D42" s="734"/>
      <c r="E42" s="735" t="s">
        <v>294</v>
      </c>
      <c r="F42" s="736"/>
      <c r="G42" s="727"/>
      <c r="H42" s="737">
        <v>19755</v>
      </c>
      <c r="I42" s="738">
        <v>20762</v>
      </c>
      <c r="J42" s="738">
        <v>20941</v>
      </c>
      <c r="K42" s="738">
        <v>17821</v>
      </c>
      <c r="L42" s="738">
        <v>15867</v>
      </c>
      <c r="M42" s="739">
        <v>14560</v>
      </c>
      <c r="N42" s="739">
        <v>14935</v>
      </c>
      <c r="O42" s="739">
        <v>15845</v>
      </c>
      <c r="P42" s="739">
        <v>17083</v>
      </c>
      <c r="Q42" s="739">
        <v>15519</v>
      </c>
      <c r="R42" s="739">
        <v>16415.192442</v>
      </c>
      <c r="S42" s="739">
        <v>16871.464784600001</v>
      </c>
      <c r="T42" s="740">
        <v>16769.758712800001</v>
      </c>
    </row>
    <row r="43" spans="1:20">
      <c r="C43" s="708"/>
      <c r="D43" s="708"/>
      <c r="E43" s="741"/>
      <c r="F43" s="741"/>
      <c r="G43" s="741"/>
      <c r="H43" s="741"/>
      <c r="I43" s="741"/>
      <c r="J43" s="741"/>
      <c r="K43" s="741"/>
      <c r="L43" s="741"/>
    </row>
    <row r="44" spans="1:20">
      <c r="A44" s="742" t="s">
        <v>749</v>
      </c>
      <c r="C44" s="708" t="s">
        <v>750</v>
      </c>
      <c r="D44" s="708"/>
      <c r="E44" s="741"/>
      <c r="F44" s="741"/>
      <c r="G44" s="741"/>
      <c r="H44" s="741"/>
      <c r="I44" s="741"/>
      <c r="J44" s="741"/>
      <c r="K44" s="741"/>
      <c r="L44" s="741"/>
    </row>
    <row r="45" spans="1:20">
      <c r="A45" s="742"/>
      <c r="C45" s="743"/>
      <c r="D45" s="744"/>
      <c r="E45" s="719" t="s">
        <v>281</v>
      </c>
      <c r="F45" s="720" t="s">
        <v>282</v>
      </c>
      <c r="G45" s="741"/>
      <c r="H45" s="714">
        <v>2011</v>
      </c>
      <c r="I45" s="715">
        <v>2012</v>
      </c>
      <c r="J45" s="715">
        <v>2013</v>
      </c>
      <c r="K45" s="715">
        <v>2014</v>
      </c>
      <c r="L45" s="715">
        <v>2015</v>
      </c>
      <c r="M45" s="715">
        <v>2016</v>
      </c>
      <c r="N45" s="716">
        <v>2017</v>
      </c>
      <c r="O45" s="716">
        <v>2018</v>
      </c>
      <c r="P45" s="716">
        <v>2019</v>
      </c>
      <c r="Q45" s="716">
        <v>2020</v>
      </c>
      <c r="R45" s="716">
        <v>2021</v>
      </c>
      <c r="S45" s="716">
        <v>2022</v>
      </c>
      <c r="T45" s="717">
        <v>2023</v>
      </c>
    </row>
    <row r="46" spans="1:20">
      <c r="C46" s="743" t="s">
        <v>751</v>
      </c>
      <c r="D46" s="744"/>
      <c r="E46" s="745" t="s">
        <v>752</v>
      </c>
      <c r="F46" s="746"/>
      <c r="G46" s="741"/>
      <c r="H46" s="747"/>
      <c r="I46" s="748"/>
      <c r="J46" s="748"/>
      <c r="K46" s="748"/>
      <c r="L46" s="748"/>
      <c r="M46" s="749"/>
      <c r="N46" s="445">
        <v>11</v>
      </c>
      <c r="O46" s="445">
        <v>11.5</v>
      </c>
      <c r="P46" s="445">
        <v>12.6</v>
      </c>
      <c r="Q46" s="445">
        <v>11.8</v>
      </c>
      <c r="R46" s="445">
        <v>12.1</v>
      </c>
      <c r="S46" s="445">
        <v>12.6</v>
      </c>
      <c r="T46" s="750">
        <v>13</v>
      </c>
    </row>
    <row r="47" spans="1:20">
      <c r="C47" s="751" t="s">
        <v>328</v>
      </c>
      <c r="D47" s="708"/>
      <c r="E47" s="752" t="s">
        <v>232</v>
      </c>
      <c r="F47" s="753"/>
      <c r="G47" s="741"/>
      <c r="H47" s="754"/>
      <c r="I47" s="741"/>
      <c r="J47" s="741"/>
      <c r="K47" s="741"/>
      <c r="L47" s="741"/>
      <c r="N47" s="445">
        <f>0.616*N46</f>
        <v>6.7759999999999998</v>
      </c>
      <c r="O47" s="445">
        <v>7.15</v>
      </c>
      <c r="P47" s="445">
        <v>8.1999999999999993</v>
      </c>
      <c r="Q47" s="445">
        <v>7.7</v>
      </c>
      <c r="R47" s="445">
        <v>7.9</v>
      </c>
      <c r="S47" s="445">
        <v>8.125</v>
      </c>
      <c r="T47" s="750">
        <f>0.678*T46</f>
        <v>8.8140000000000001</v>
      </c>
    </row>
    <row r="48" spans="1:20">
      <c r="C48" s="751" t="s">
        <v>753</v>
      </c>
      <c r="D48" s="708"/>
      <c r="E48" s="752" t="s">
        <v>232</v>
      </c>
      <c r="F48" s="753"/>
      <c r="G48" s="741"/>
      <c r="H48" s="755"/>
      <c r="I48" s="756"/>
      <c r="J48" s="756"/>
      <c r="K48" s="756"/>
      <c r="L48" s="756"/>
      <c r="M48" s="757"/>
      <c r="N48" s="757">
        <f>N46-N47</f>
        <v>4.2240000000000002</v>
      </c>
      <c r="O48" s="757">
        <f t="shared" ref="O48:T48" si="0">O46-O47</f>
        <v>4.3499999999999996</v>
      </c>
      <c r="P48" s="757">
        <f t="shared" si="0"/>
        <v>4.4000000000000004</v>
      </c>
      <c r="Q48" s="757">
        <f t="shared" si="0"/>
        <v>4.1000000000000005</v>
      </c>
      <c r="R48" s="757">
        <f t="shared" si="0"/>
        <v>4.1999999999999993</v>
      </c>
      <c r="S48" s="757">
        <f t="shared" si="0"/>
        <v>4.4749999999999996</v>
      </c>
      <c r="T48" s="758">
        <f t="shared" si="0"/>
        <v>4.1859999999999999</v>
      </c>
    </row>
    <row r="49" spans="1:22">
      <c r="C49" s="759" t="s">
        <v>754</v>
      </c>
      <c r="D49" s="734"/>
      <c r="E49" s="760" t="s">
        <v>313</v>
      </c>
      <c r="F49" s="736"/>
      <c r="G49" s="741"/>
      <c r="H49" s="761"/>
      <c r="I49" s="735"/>
      <c r="J49" s="735"/>
      <c r="K49" s="735"/>
      <c r="L49" s="735"/>
      <c r="M49" s="762"/>
      <c r="N49" s="763">
        <f>N47/N46</f>
        <v>0.61599999999999999</v>
      </c>
      <c r="O49" s="763">
        <f t="shared" ref="O49:T49" si="1">O47/O46</f>
        <v>0.62173913043478268</v>
      </c>
      <c r="P49" s="763">
        <f t="shared" si="1"/>
        <v>0.6507936507936507</v>
      </c>
      <c r="Q49" s="763">
        <f t="shared" si="1"/>
        <v>0.65254237288135586</v>
      </c>
      <c r="R49" s="763">
        <f t="shared" si="1"/>
        <v>0.65289256198347112</v>
      </c>
      <c r="S49" s="763">
        <f t="shared" si="1"/>
        <v>0.64484126984126988</v>
      </c>
      <c r="T49" s="764">
        <f t="shared" si="1"/>
        <v>0.67800000000000005</v>
      </c>
    </row>
    <row r="50" spans="1:22">
      <c r="C50" s="708"/>
      <c r="D50" s="708"/>
      <c r="E50" s="741"/>
      <c r="F50" s="741"/>
      <c r="G50" s="741"/>
      <c r="H50" s="741"/>
      <c r="I50" s="741"/>
      <c r="J50" s="741"/>
      <c r="K50" s="741"/>
      <c r="L50" s="741"/>
    </row>
    <row r="51" spans="1:22">
      <c r="A51" s="445" t="s">
        <v>755</v>
      </c>
      <c r="C51" s="708" t="s">
        <v>756</v>
      </c>
      <c r="D51" s="708"/>
      <c r="E51" s="741"/>
      <c r="F51" s="741"/>
      <c r="G51" s="741"/>
      <c r="H51" s="741"/>
      <c r="I51" s="741"/>
      <c r="J51" s="741"/>
      <c r="K51" s="741"/>
      <c r="L51" s="741"/>
    </row>
    <row r="52" spans="1:22">
      <c r="C52" s="765"/>
      <c r="D52" s="734"/>
      <c r="E52" s="712" t="s">
        <v>281</v>
      </c>
      <c r="F52" s="713" t="s">
        <v>282</v>
      </c>
      <c r="G52" s="741"/>
      <c r="H52" s="714">
        <v>2011</v>
      </c>
      <c r="I52" s="715">
        <v>2012</v>
      </c>
      <c r="J52" s="715">
        <v>2013</v>
      </c>
      <c r="K52" s="715">
        <v>2014</v>
      </c>
      <c r="L52" s="715">
        <v>2015</v>
      </c>
      <c r="M52" s="715">
        <v>2016</v>
      </c>
      <c r="N52" s="716">
        <v>2017</v>
      </c>
      <c r="O52" s="716">
        <v>2018</v>
      </c>
      <c r="P52" s="716">
        <v>2019</v>
      </c>
      <c r="Q52" s="716">
        <v>2020</v>
      </c>
      <c r="R52" s="716">
        <v>2021</v>
      </c>
      <c r="S52" s="716">
        <v>2022</v>
      </c>
      <c r="T52" s="716">
        <v>2023</v>
      </c>
      <c r="U52" s="790">
        <v>2024</v>
      </c>
    </row>
    <row r="53" spans="1:22">
      <c r="C53" s="766" t="s">
        <v>757</v>
      </c>
      <c r="D53" s="767"/>
      <c r="E53" s="768" t="s">
        <v>330</v>
      </c>
      <c r="F53" s="746"/>
      <c r="G53" s="741"/>
      <c r="H53" s="772">
        <v>7128190217.7549095</v>
      </c>
      <c r="I53" s="727">
        <v>7558415079.5642233</v>
      </c>
      <c r="J53" s="727">
        <v>8166148034.4414492</v>
      </c>
      <c r="K53" s="727">
        <v>7159068253.264677</v>
      </c>
      <c r="L53" s="727">
        <v>6471744761.3443403</v>
      </c>
      <c r="M53" s="445">
        <v>6518725565.8310919</v>
      </c>
      <c r="N53" s="445">
        <v>6927077902.7613277</v>
      </c>
      <c r="O53" s="445">
        <v>7600184885.8980236</v>
      </c>
      <c r="P53" s="445">
        <v>8497223168.8917904</v>
      </c>
      <c r="Q53" s="445">
        <v>7220224490.6065531</v>
      </c>
      <c r="R53" s="445">
        <v>7577360886.7784901</v>
      </c>
      <c r="S53" s="445">
        <v>8414391839.591383</v>
      </c>
      <c r="T53" s="445">
        <v>8743207969.6844063</v>
      </c>
      <c r="U53" s="750">
        <v>8991321114.8478699</v>
      </c>
    </row>
    <row r="54" spans="1:22">
      <c r="C54" s="770" t="s">
        <v>758</v>
      </c>
      <c r="D54" s="771"/>
      <c r="E54" s="727" t="s">
        <v>232</v>
      </c>
      <c r="F54" s="753"/>
      <c r="G54" s="741"/>
      <c r="H54" s="772">
        <v>5050537502.2427874</v>
      </c>
      <c r="I54" s="727">
        <v>5065426424.4896498</v>
      </c>
      <c r="J54" s="727">
        <v>5436044543.0890388</v>
      </c>
      <c r="K54" s="727">
        <v>5780500467.1023722</v>
      </c>
      <c r="L54" s="727">
        <v>5194461081.9830732</v>
      </c>
      <c r="M54" s="445">
        <v>4822921704.1886349</v>
      </c>
      <c r="N54" s="445">
        <v>4745501119.1421309</v>
      </c>
      <c r="O54" s="445">
        <v>5102947450.8620691</v>
      </c>
      <c r="P54" s="445">
        <v>5494024163.9341526</v>
      </c>
      <c r="Q54" s="445">
        <v>6018595511.8283615</v>
      </c>
      <c r="R54" s="445">
        <v>5019066899.0056419</v>
      </c>
      <c r="S54" s="445">
        <v>5335502714.7851286</v>
      </c>
      <c r="T54" s="445">
        <v>5909151945.2038622</v>
      </c>
      <c r="U54" s="750">
        <v>5920758741.3287096</v>
      </c>
      <c r="V54" s="445">
        <v>6225924117.8726559</v>
      </c>
    </row>
    <row r="55" spans="1:22">
      <c r="C55" s="770" t="s">
        <v>759</v>
      </c>
      <c r="D55" s="771"/>
      <c r="E55" s="727" t="s">
        <v>232</v>
      </c>
      <c r="F55" s="753"/>
      <c r="G55" s="741"/>
      <c r="H55" s="772">
        <v>1946709478.8850858</v>
      </c>
      <c r="I55" s="727">
        <v>2062763793.2652597</v>
      </c>
      <c r="J55" s="727">
        <v>2122370536.4751847</v>
      </c>
      <c r="K55" s="727">
        <v>2385647567.339077</v>
      </c>
      <c r="L55" s="727">
        <v>1964607171.2816036</v>
      </c>
      <c r="M55" s="445">
        <v>1648823057.1557055</v>
      </c>
      <c r="N55" s="445">
        <v>1773224446.688961</v>
      </c>
      <c r="O55" s="445">
        <v>1824130451.8992591</v>
      </c>
      <c r="P55" s="445">
        <v>2106160721.9638708</v>
      </c>
      <c r="Q55" s="445">
        <v>2478627657.0634289</v>
      </c>
      <c r="R55" s="445">
        <v>2201157591.6009111</v>
      </c>
      <c r="S55" s="445">
        <v>2241858171.993361</v>
      </c>
      <c r="T55" s="445">
        <v>2505239894.3875203</v>
      </c>
      <c r="U55" s="750">
        <v>2822449228.3556957</v>
      </c>
      <c r="V55" s="445">
        <v>2765396996.9752135</v>
      </c>
    </row>
    <row r="56" spans="1:22">
      <c r="C56" s="773" t="s">
        <v>760</v>
      </c>
      <c r="D56" s="774"/>
      <c r="E56" s="775" t="s">
        <v>232</v>
      </c>
      <c r="F56" s="776"/>
      <c r="G56" s="741"/>
      <c r="H56" s="777"/>
      <c r="I56" s="775"/>
      <c r="J56" s="775"/>
      <c r="K56" s="775"/>
      <c r="L56" s="775"/>
      <c r="M56" s="757">
        <v>7036976801.5046082</v>
      </c>
      <c r="N56" s="757">
        <v>7040460271.1360416</v>
      </c>
      <c r="O56" s="757">
        <v>7315207322.5804863</v>
      </c>
      <c r="P56" s="757">
        <v>7832249898.2229471</v>
      </c>
      <c r="Q56" s="757">
        <v>8844168139.4146347</v>
      </c>
      <c r="R56" s="757">
        <v>7797250889.0815048</v>
      </c>
      <c r="S56" s="757">
        <v>8234379462.6921663</v>
      </c>
      <c r="T56" s="757">
        <v>8785038235.3983688</v>
      </c>
      <c r="U56" s="758">
        <v>8956539741.4953747</v>
      </c>
    </row>
    <row r="57" spans="1:22">
      <c r="C57" s="708"/>
      <c r="D57" s="708"/>
      <c r="E57" s="741"/>
      <c r="F57" s="741"/>
      <c r="G57" s="741"/>
      <c r="H57" s="741"/>
      <c r="I57" s="741"/>
      <c r="J57" s="741"/>
      <c r="K57" s="741"/>
      <c r="L57" s="741"/>
    </row>
    <row r="58" spans="1:22">
      <c r="C58" s="446" t="s">
        <v>761</v>
      </c>
      <c r="D58" s="708"/>
      <c r="E58" s="741"/>
      <c r="F58" s="741"/>
      <c r="G58" s="741"/>
      <c r="H58" s="741"/>
      <c r="I58" s="741"/>
      <c r="J58" s="741"/>
      <c r="K58" s="741"/>
      <c r="L58" s="741"/>
    </row>
    <row r="60" spans="1:22">
      <c r="C60" s="445" t="s">
        <v>763</v>
      </c>
    </row>
    <row r="62" spans="1:22">
      <c r="C62" s="778" t="s">
        <v>764</v>
      </c>
    </row>
    <row r="63" spans="1:22">
      <c r="A63" s="445" t="s">
        <v>327</v>
      </c>
      <c r="C63" s="765" t="s">
        <v>765</v>
      </c>
      <c r="D63" s="762" t="s">
        <v>330</v>
      </c>
      <c r="E63" s="795">
        <v>1440000000</v>
      </c>
    </row>
    <row r="65" spans="1:21">
      <c r="C65" s="445" t="s">
        <v>766</v>
      </c>
    </row>
    <row r="66" spans="1:21">
      <c r="C66" s="743" t="s">
        <v>767</v>
      </c>
      <c r="D66" s="749" t="s">
        <v>313</v>
      </c>
      <c r="E66" s="797">
        <f>(E63/10^6)/S40</f>
        <v>0.4101016676415366</v>
      </c>
    </row>
    <row r="67" spans="1:21">
      <c r="C67" s="751" t="s">
        <v>768</v>
      </c>
      <c r="D67" s="445" t="s">
        <v>232</v>
      </c>
      <c r="E67" s="798">
        <f>(E63/10^9)/S47</f>
        <v>0.17723076923076922</v>
      </c>
    </row>
    <row r="68" spans="1:21">
      <c r="C68" s="779" t="s">
        <v>769</v>
      </c>
      <c r="D68" s="757" t="s">
        <v>232</v>
      </c>
      <c r="E68" s="1168">
        <f>E63/S53</f>
        <v>0.17113536277506289</v>
      </c>
    </row>
    <row r="70" spans="1:21">
      <c r="C70" s="445" t="s">
        <v>770</v>
      </c>
    </row>
    <row r="72" spans="1:21">
      <c r="C72" s="778" t="s">
        <v>771</v>
      </c>
      <c r="H72" s="1104">
        <v>2011</v>
      </c>
      <c r="I72" s="1105">
        <v>2012</v>
      </c>
      <c r="J72" s="1105">
        <v>2013</v>
      </c>
      <c r="K72" s="1105">
        <v>2014</v>
      </c>
      <c r="L72" s="1105">
        <v>2015</v>
      </c>
      <c r="M72" s="1105">
        <v>2016</v>
      </c>
      <c r="N72" s="782">
        <v>2017</v>
      </c>
      <c r="O72" s="782">
        <v>2018</v>
      </c>
      <c r="P72" s="782">
        <v>2019</v>
      </c>
      <c r="Q72" s="782">
        <v>2020</v>
      </c>
      <c r="R72" s="782">
        <v>2021</v>
      </c>
      <c r="S72" s="782">
        <v>2022</v>
      </c>
      <c r="T72" s="782">
        <v>2023</v>
      </c>
      <c r="U72" s="769">
        <v>2024</v>
      </c>
    </row>
    <row r="73" spans="1:21">
      <c r="C73" s="743" t="s">
        <v>767</v>
      </c>
      <c r="D73" s="749"/>
      <c r="E73" s="749" t="s">
        <v>737</v>
      </c>
      <c r="F73" s="769"/>
      <c r="H73" s="743">
        <f t="shared" ref="H73:U73" si="2">$E$66*H40</f>
        <v>1563.8930809454764</v>
      </c>
      <c r="I73" s="749">
        <f t="shared" si="2"/>
        <v>1979.9892869181426</v>
      </c>
      <c r="J73" s="749">
        <f t="shared" si="2"/>
        <v>1861.9890234078898</v>
      </c>
      <c r="K73" s="749">
        <f t="shared" si="2"/>
        <v>1721.9028547616374</v>
      </c>
      <c r="L73" s="749">
        <f t="shared" si="2"/>
        <v>1387.2423122250914</v>
      </c>
      <c r="M73" s="749">
        <f t="shared" si="2"/>
        <v>1243.1386354529279</v>
      </c>
      <c r="N73" s="749">
        <f t="shared" si="2"/>
        <v>1381.5727798212752</v>
      </c>
      <c r="O73" s="749">
        <f t="shared" si="2"/>
        <v>1368.6113863752646</v>
      </c>
      <c r="P73" s="749">
        <f t="shared" si="2"/>
        <v>1342.4271132457966</v>
      </c>
      <c r="Q73" s="749">
        <f t="shared" si="2"/>
        <v>1288.4599932560184</v>
      </c>
      <c r="R73" s="749">
        <f t="shared" si="2"/>
        <v>1426.5401726914838</v>
      </c>
      <c r="S73" s="749">
        <f t="shared" si="2"/>
        <v>1440</v>
      </c>
      <c r="T73" s="749">
        <f t="shared" si="2"/>
        <v>1881.3992681616373</v>
      </c>
      <c r="U73" s="769">
        <f t="shared" si="2"/>
        <v>0</v>
      </c>
    </row>
    <row r="74" spans="1:21">
      <c r="C74" s="751" t="s">
        <v>768</v>
      </c>
      <c r="E74" s="445" t="s">
        <v>232</v>
      </c>
      <c r="F74" s="750"/>
      <c r="H74" s="751">
        <f t="shared" ref="H74:U74" si="3">$E$67*H47*10^3</f>
        <v>0</v>
      </c>
      <c r="I74" s="445">
        <f t="shared" si="3"/>
        <v>0</v>
      </c>
      <c r="J74" s="445">
        <f t="shared" si="3"/>
        <v>0</v>
      </c>
      <c r="K74" s="445">
        <f t="shared" si="3"/>
        <v>0</v>
      </c>
      <c r="L74" s="445">
        <f t="shared" si="3"/>
        <v>0</v>
      </c>
      <c r="M74" s="445">
        <f t="shared" si="3"/>
        <v>0</v>
      </c>
      <c r="N74" s="445">
        <f t="shared" si="3"/>
        <v>1200.9156923076923</v>
      </c>
      <c r="O74" s="445">
        <f t="shared" si="3"/>
        <v>1267.1999999999998</v>
      </c>
      <c r="P74" s="445">
        <f t="shared" si="3"/>
        <v>1453.2923076923075</v>
      </c>
      <c r="Q74" s="445">
        <f t="shared" si="3"/>
        <v>1364.6769230769232</v>
      </c>
      <c r="R74" s="445">
        <f t="shared" si="3"/>
        <v>1400.1230769230767</v>
      </c>
      <c r="S74" s="445">
        <f t="shared" si="3"/>
        <v>1440</v>
      </c>
      <c r="T74" s="445">
        <f t="shared" si="3"/>
        <v>1562.1119999999999</v>
      </c>
      <c r="U74" s="750">
        <f t="shared" si="3"/>
        <v>0</v>
      </c>
    </row>
    <row r="75" spans="1:21" ht="14.5">
      <c r="A75" s="854" t="s">
        <v>309</v>
      </c>
      <c r="C75" s="779" t="s">
        <v>769</v>
      </c>
      <c r="D75" s="757"/>
      <c r="E75" s="757" t="s">
        <v>232</v>
      </c>
      <c r="F75" s="758"/>
      <c r="H75" s="779">
        <f t="shared" ref="H75:U75" si="4">$E$68*H53/10^6</f>
        <v>1219.885418845141</v>
      </c>
      <c r="I75" s="757">
        <f t="shared" si="4"/>
        <v>1293.5121066457291</v>
      </c>
      <c r="J75" s="757">
        <f t="shared" si="4"/>
        <v>1397.5167063490044</v>
      </c>
      <c r="K75" s="757">
        <f t="shared" si="4"/>
        <v>1225.1697426538863</v>
      </c>
      <c r="L75" s="757">
        <f t="shared" si="4"/>
        <v>1107.5443875202766</v>
      </c>
      <c r="M75" s="757">
        <f t="shared" si="4"/>
        <v>1115.5844645395809</v>
      </c>
      <c r="N75" s="757">
        <f t="shared" si="4"/>
        <v>1185.4679898601817</v>
      </c>
      <c r="O75" s="757">
        <f t="shared" si="4"/>
        <v>1300.6603976057081</v>
      </c>
      <c r="P75" s="757">
        <f t="shared" si="4"/>
        <v>1454.1753695889661</v>
      </c>
      <c r="Q75" s="757">
        <f t="shared" si="4"/>
        <v>1235.6357375173461</v>
      </c>
      <c r="R75" s="757">
        <f t="shared" si="4"/>
        <v>1296.7544042364093</v>
      </c>
      <c r="S75" s="757">
        <f t="shared" si="4"/>
        <v>1440</v>
      </c>
      <c r="T75" s="757">
        <f t="shared" si="4"/>
        <v>1496.2720677097618</v>
      </c>
      <c r="U75" s="758">
        <f t="shared" si="4"/>
        <v>1538.7330008165732</v>
      </c>
    </row>
    <row r="77" spans="1:21" ht="19.5" customHeight="1">
      <c r="C77" s="1180" t="s">
        <v>1094</v>
      </c>
    </row>
    <row r="78" spans="1:21" ht="19.5" customHeight="1"/>
    <row r="79" spans="1:21" ht="19.5" customHeight="1">
      <c r="C79" s="445" t="s">
        <v>1095</v>
      </c>
    </row>
    <row r="80" spans="1:21" ht="19.5" customHeight="1"/>
    <row r="81" spans="1:21" ht="19.5" customHeight="1">
      <c r="A81" s="120" t="s">
        <v>892</v>
      </c>
      <c r="B81"/>
      <c r="C81" s="15" t="s">
        <v>891</v>
      </c>
      <c r="D81"/>
      <c r="E81"/>
      <c r="F81"/>
      <c r="G81"/>
      <c r="H81" s="156">
        <v>2011</v>
      </c>
      <c r="I81" s="157">
        <v>2012</v>
      </c>
      <c r="J81" s="157">
        <v>2013</v>
      </c>
      <c r="K81" s="157">
        <v>2014</v>
      </c>
      <c r="L81" s="157">
        <v>2015</v>
      </c>
      <c r="M81" s="157">
        <v>2016</v>
      </c>
      <c r="N81" s="45">
        <v>2017</v>
      </c>
      <c r="O81" s="45">
        <v>2018</v>
      </c>
      <c r="P81" s="45">
        <v>2019</v>
      </c>
      <c r="Q81" s="45">
        <v>2020</v>
      </c>
      <c r="R81" s="45">
        <v>2021</v>
      </c>
      <c r="S81" s="45">
        <v>2022</v>
      </c>
      <c r="T81" s="45">
        <v>2023</v>
      </c>
      <c r="U81" s="822">
        <v>2024</v>
      </c>
    </row>
    <row r="82" spans="1:21" ht="19.5" customHeight="1">
      <c r="A82"/>
      <c r="B82"/>
      <c r="C82" s="15"/>
      <c r="D82"/>
      <c r="E82"/>
      <c r="F82" s="1162" t="s">
        <v>893</v>
      </c>
      <c r="G82"/>
      <c r="H82" s="69">
        <v>30611.921699999999</v>
      </c>
      <c r="I82" s="70">
        <v>28543.778699999999</v>
      </c>
      <c r="J82" s="70">
        <v>26549.1505</v>
      </c>
      <c r="K82" s="70">
        <v>23653.777600000001</v>
      </c>
      <c r="L82" s="70">
        <v>21025.8285</v>
      </c>
      <c r="M82" s="70">
        <v>22345.332699999999</v>
      </c>
      <c r="N82" s="70">
        <v>22121.909</v>
      </c>
      <c r="O82" s="70">
        <v>21964.553400000001</v>
      </c>
      <c r="P82" s="70">
        <v>19503.573100000001</v>
      </c>
      <c r="Q82" s="70">
        <v>20551.469700000001</v>
      </c>
      <c r="R82" s="70">
        <v>20851.154299999998</v>
      </c>
      <c r="S82" s="70">
        <v>20250.931</v>
      </c>
      <c r="T82" s="70">
        <v>19263</v>
      </c>
      <c r="U82" s="1220"/>
    </row>
    <row r="83" spans="1:21" ht="19.5" customHeight="1">
      <c r="A83"/>
      <c r="B83"/>
      <c r="C83"/>
      <c r="D83"/>
      <c r="E83"/>
      <c r="F83" s="342" t="s">
        <v>894</v>
      </c>
      <c r="G83"/>
      <c r="H83" s="91">
        <v>2111.3373000000001</v>
      </c>
      <c r="I83" s="92">
        <v>2099.7325000000001</v>
      </c>
      <c r="J83" s="92">
        <v>1966.441</v>
      </c>
      <c r="K83" s="92">
        <v>1578.9203</v>
      </c>
      <c r="L83" s="92">
        <v>1360.2265</v>
      </c>
      <c r="M83" s="92">
        <v>1444.0726</v>
      </c>
      <c r="N83" s="92">
        <v>1396.4537</v>
      </c>
      <c r="O83" s="92">
        <v>1446.9985999999999</v>
      </c>
      <c r="P83" s="92">
        <v>1194.5083</v>
      </c>
      <c r="Q83" s="92">
        <v>1378.0734</v>
      </c>
      <c r="R83" s="92">
        <v>1138.3244</v>
      </c>
      <c r="S83" s="92">
        <v>1062.3833</v>
      </c>
      <c r="T83" s="92">
        <v>820.81849999999997</v>
      </c>
      <c r="U83" s="92"/>
    </row>
    <row r="84" spans="1:21" ht="19.5" customHeight="1">
      <c r="A84"/>
      <c r="B84"/>
      <c r="C84"/>
      <c r="D84"/>
      <c r="E84"/>
      <c r="F84" s="343"/>
      <c r="G84"/>
      <c r="H84"/>
      <c r="I84"/>
      <c r="J84"/>
      <c r="K84"/>
      <c r="L84"/>
      <c r="M84"/>
      <c r="N84"/>
      <c r="O84"/>
      <c r="P84"/>
      <c r="Q84"/>
      <c r="R84"/>
      <c r="S84"/>
      <c r="T84"/>
      <c r="U84"/>
    </row>
    <row r="85" spans="1:21" ht="19.5" customHeight="1">
      <c r="A85"/>
      <c r="B85"/>
      <c r="C85"/>
      <c r="D85"/>
      <c r="E85"/>
      <c r="F85" s="343"/>
      <c r="G85"/>
      <c r="H85"/>
      <c r="I85"/>
      <c r="J85"/>
      <c r="K85"/>
      <c r="L85"/>
      <c r="M85"/>
      <c r="N85"/>
      <c r="O85"/>
      <c r="P85"/>
      <c r="Q85"/>
      <c r="R85"/>
      <c r="S85"/>
      <c r="T85"/>
      <c r="U85"/>
    </row>
    <row r="86" spans="1:21" ht="19.5" customHeight="1">
      <c r="A86"/>
      <c r="B86"/>
      <c r="C86"/>
      <c r="D86"/>
      <c r="E86"/>
      <c r="F86" s="343"/>
      <c r="G86"/>
      <c r="H86"/>
      <c r="I86"/>
      <c r="J86"/>
      <c r="K86"/>
      <c r="L86"/>
      <c r="M86"/>
      <c r="N86"/>
      <c r="O86"/>
      <c r="P86"/>
      <c r="Q86"/>
      <c r="R86"/>
      <c r="S86"/>
      <c r="T86"/>
      <c r="U86"/>
    </row>
    <row r="87" spans="1:21" ht="19.5" customHeight="1">
      <c r="A87" s="120" t="s">
        <v>1096</v>
      </c>
    </row>
    <row r="88" spans="1:21" ht="19.5" customHeight="1">
      <c r="A88" s="445" t="s">
        <v>1100</v>
      </c>
    </row>
    <row r="89" spans="1:21" ht="19.5" customHeight="1">
      <c r="H89" s="156">
        <v>2011</v>
      </c>
      <c r="I89" s="157">
        <v>2012</v>
      </c>
      <c r="J89" s="157">
        <v>2013</v>
      </c>
      <c r="K89" s="157">
        <v>2014</v>
      </c>
      <c r="L89" s="157">
        <v>2015</v>
      </c>
      <c r="M89" s="157">
        <v>2016</v>
      </c>
      <c r="N89" s="45">
        <v>2017</v>
      </c>
      <c r="O89" s="45">
        <v>2018</v>
      </c>
      <c r="P89" s="45">
        <v>2019</v>
      </c>
      <c r="Q89" s="45">
        <v>2020</v>
      </c>
      <c r="R89" s="45">
        <v>2021</v>
      </c>
      <c r="S89" s="45">
        <v>2022</v>
      </c>
      <c r="T89" s="45">
        <v>2023</v>
      </c>
      <c r="U89" s="46">
        <v>2024</v>
      </c>
    </row>
    <row r="90" spans="1:21" ht="19.5" customHeight="1">
      <c r="C90" s="1184" t="s">
        <v>1097</v>
      </c>
      <c r="D90" s="749"/>
      <c r="E90" s="749"/>
      <c r="F90" s="749" t="s">
        <v>1099</v>
      </c>
      <c r="G90" s="769"/>
      <c r="H90" s="749"/>
      <c r="I90" s="1181">
        <v>1061.3304699999999</v>
      </c>
      <c r="J90" s="1182">
        <v>1061.3306479999999</v>
      </c>
      <c r="K90" s="1182">
        <v>1060.9914469999999</v>
      </c>
      <c r="L90" s="1182">
        <v>1067.8858700000001</v>
      </c>
      <c r="M90" s="1182">
        <v>1080.54351</v>
      </c>
      <c r="N90" s="1182">
        <v>1082.889197</v>
      </c>
      <c r="O90" s="1182">
        <v>1085.493481</v>
      </c>
      <c r="P90" s="1182">
        <v>1085.7569100000001</v>
      </c>
      <c r="Q90" s="1182">
        <v>1084.9838770000001</v>
      </c>
      <c r="R90" s="1182">
        <v>1089.4089465</v>
      </c>
      <c r="S90" s="1182">
        <v>1091.8055629999999</v>
      </c>
      <c r="T90" s="1182">
        <v>1097.3745450000001</v>
      </c>
      <c r="U90" s="769"/>
    </row>
    <row r="91" spans="1:21" ht="19.5" customHeight="1">
      <c r="C91" s="1185" t="s">
        <v>1098</v>
      </c>
      <c r="F91" s="445" t="s">
        <v>232</v>
      </c>
      <c r="G91" s="750"/>
      <c r="I91" s="445">
        <v>381.47</v>
      </c>
      <c r="J91" s="1183">
        <v>381.47017799999998</v>
      </c>
      <c r="K91" s="1183">
        <v>381.13097699999997</v>
      </c>
      <c r="L91" s="1183">
        <v>381.72144900000001</v>
      </c>
      <c r="M91" s="1183">
        <v>381.31913700000001</v>
      </c>
      <c r="N91" s="1183">
        <v>377.88992999999999</v>
      </c>
      <c r="O91" s="1183">
        <v>381.34204499999998</v>
      </c>
      <c r="P91" s="1183">
        <v>381.55606699999998</v>
      </c>
      <c r="Q91" s="1183">
        <v>381.70740000000001</v>
      </c>
      <c r="R91" s="1183">
        <v>382.076098</v>
      </c>
      <c r="S91" s="1183">
        <v>382.05240900000001</v>
      </c>
      <c r="T91" s="1183">
        <v>382.49114400000002</v>
      </c>
      <c r="U91" s="750"/>
    </row>
    <row r="92" spans="1:21" ht="19.5" customHeight="1">
      <c r="C92" s="1190" t="s">
        <v>1103</v>
      </c>
      <c r="D92" s="1191"/>
      <c r="E92" s="1191"/>
      <c r="F92" s="1191" t="s">
        <v>232</v>
      </c>
      <c r="G92" s="1192"/>
      <c r="H92" s="1191"/>
      <c r="I92" s="1191"/>
      <c r="J92" s="1193">
        <f>J91-I91</f>
        <v>1.7799999994849713E-4</v>
      </c>
      <c r="K92" s="1193">
        <f t="shared" ref="K92:T92" si="5">K91-J91</f>
        <v>-0.33920100000000275</v>
      </c>
      <c r="L92" s="1193">
        <f t="shared" si="5"/>
        <v>0.59047200000003386</v>
      </c>
      <c r="M92" s="1193">
        <f t="shared" si="5"/>
        <v>-0.4023119999999949</v>
      </c>
      <c r="N92" s="1193">
        <f t="shared" si="5"/>
        <v>-3.4292070000000194</v>
      </c>
      <c r="O92" s="1193">
        <f t="shared" si="5"/>
        <v>3.4521149999999921</v>
      </c>
      <c r="P92" s="1193">
        <f t="shared" si="5"/>
        <v>0.21402199999999993</v>
      </c>
      <c r="Q92" s="1193">
        <f t="shared" si="5"/>
        <v>0.15133300000002237</v>
      </c>
      <c r="R92" s="1193">
        <f t="shared" si="5"/>
        <v>0.36869799999999486</v>
      </c>
      <c r="S92" s="1193">
        <f t="shared" si="5"/>
        <v>-2.3688999999990301E-2</v>
      </c>
      <c r="T92" s="1193">
        <f t="shared" si="5"/>
        <v>0.43873500000000831</v>
      </c>
      <c r="U92" s="1192"/>
    </row>
    <row r="93" spans="1:21" ht="19.5" customHeight="1">
      <c r="C93" s="1185" t="s">
        <v>1092</v>
      </c>
      <c r="F93" s="445" t="s">
        <v>232</v>
      </c>
      <c r="G93" s="750"/>
      <c r="I93" s="445">
        <v>679.86046999999996</v>
      </c>
      <c r="J93" s="1183">
        <v>679.86046999999996</v>
      </c>
      <c r="K93" s="1183">
        <v>679.86046999999996</v>
      </c>
      <c r="L93" s="1183">
        <v>686.16442099999995</v>
      </c>
      <c r="M93" s="1183">
        <v>699.22437300000001</v>
      </c>
      <c r="N93" s="1183">
        <v>704.99926700000003</v>
      </c>
      <c r="O93" s="1183">
        <v>704.15143599999999</v>
      </c>
      <c r="P93" s="1183">
        <v>704.20084299999996</v>
      </c>
      <c r="Q93" s="1183">
        <v>703.276477</v>
      </c>
      <c r="R93" s="1183">
        <v>707.33284849999995</v>
      </c>
      <c r="S93" s="1183">
        <v>709.75315399999999</v>
      </c>
      <c r="T93" s="1183">
        <v>714.88340100000005</v>
      </c>
      <c r="U93" s="750"/>
    </row>
    <row r="94" spans="1:21" ht="19.5" customHeight="1">
      <c r="C94" s="1194" t="s">
        <v>1103</v>
      </c>
      <c r="D94" s="1195"/>
      <c r="E94" s="1191"/>
      <c r="F94" s="1191" t="s">
        <v>232</v>
      </c>
      <c r="G94" s="1192"/>
      <c r="H94" s="1191"/>
      <c r="I94" s="1193"/>
      <c r="J94" s="1193">
        <f>J93-I93</f>
        <v>0</v>
      </c>
      <c r="K94" s="1193">
        <f t="shared" ref="K94:T94" si="6">K93-J93</f>
        <v>0</v>
      </c>
      <c r="L94" s="1193">
        <f t="shared" si="6"/>
        <v>6.3039509999999837</v>
      </c>
      <c r="M94" s="1193">
        <f t="shared" si="6"/>
        <v>13.059952000000067</v>
      </c>
      <c r="N94" s="1193">
        <f t="shared" si="6"/>
        <v>5.7748940000000175</v>
      </c>
      <c r="O94" s="1193">
        <f t="shared" si="6"/>
        <v>-0.84783100000004197</v>
      </c>
      <c r="P94" s="1193">
        <f t="shared" si="6"/>
        <v>4.9406999999973777E-2</v>
      </c>
      <c r="Q94" s="1193">
        <f t="shared" si="6"/>
        <v>-0.92436599999996361</v>
      </c>
      <c r="R94" s="1193">
        <f t="shared" si="6"/>
        <v>4.0563714999999547</v>
      </c>
      <c r="S94" s="1193">
        <f t="shared" si="6"/>
        <v>2.4203055000000404</v>
      </c>
      <c r="T94" s="1193">
        <f t="shared" si="6"/>
        <v>5.130247000000054</v>
      </c>
      <c r="U94" s="1192"/>
    </row>
    <row r="95" spans="1:21" ht="19.5" customHeight="1">
      <c r="C95" s="1186" t="s">
        <v>1101</v>
      </c>
      <c r="F95" s="445" t="s">
        <v>232</v>
      </c>
      <c r="G95" s="750"/>
      <c r="H95" s="778">
        <v>21.17</v>
      </c>
      <c r="I95" s="778">
        <v>21.044</v>
      </c>
      <c r="J95" s="778">
        <v>21.209</v>
      </c>
      <c r="K95" s="778">
        <v>21.20467</v>
      </c>
      <c r="L95" s="778">
        <v>21.232464</v>
      </c>
      <c r="M95" s="778">
        <v>21.234513999999997</v>
      </c>
      <c r="N95" s="778">
        <v>20.662118</v>
      </c>
      <c r="O95" s="778">
        <v>21.221938000000002</v>
      </c>
      <c r="P95" s="778">
        <v>21.198588000000001</v>
      </c>
      <c r="Q95" s="778">
        <v>21.357945999999998</v>
      </c>
      <c r="R95" s="778">
        <v>21.364502999999999</v>
      </c>
      <c r="S95" s="778">
        <v>21.224007</v>
      </c>
      <c r="T95" s="778">
        <v>21.225189</v>
      </c>
      <c r="U95" s="1187">
        <v>20.326999999999998</v>
      </c>
    </row>
    <row r="96" spans="1:21" ht="19.5" customHeight="1">
      <c r="C96" s="1188" t="s">
        <v>782</v>
      </c>
      <c r="F96" s="445" t="s">
        <v>232</v>
      </c>
      <c r="G96" s="750"/>
      <c r="H96" s="445">
        <v>8.5779999999999994</v>
      </c>
      <c r="I96" s="445">
        <v>8.8119999999999994</v>
      </c>
      <c r="J96" s="445">
        <v>8.9510000000000005</v>
      </c>
      <c r="K96" s="445">
        <v>8.9510000000000005</v>
      </c>
      <c r="L96" s="445">
        <v>8.9909999999999997</v>
      </c>
      <c r="M96" s="445">
        <v>9.0399999999999991</v>
      </c>
      <c r="N96" s="445">
        <v>9.0399999999999991</v>
      </c>
      <c r="O96" s="445">
        <v>9.0670000000000002</v>
      </c>
      <c r="P96" s="445">
        <v>9.0730000000000004</v>
      </c>
      <c r="Q96" s="445">
        <v>9.0731420000000007</v>
      </c>
      <c r="R96" s="445">
        <v>9.1023259999999997</v>
      </c>
      <c r="S96" s="445">
        <v>9.1931279999999997</v>
      </c>
      <c r="T96" s="445">
        <v>9.2106449999999995</v>
      </c>
      <c r="U96" s="750">
        <v>9.2108059999999998</v>
      </c>
    </row>
    <row r="97" spans="3:21" ht="19.5" customHeight="1">
      <c r="C97" s="1194" t="s">
        <v>1103</v>
      </c>
      <c r="D97" s="1191"/>
      <c r="E97" s="1191"/>
      <c r="F97" s="1191" t="s">
        <v>232</v>
      </c>
      <c r="G97" s="1192"/>
      <c r="H97" s="1191"/>
      <c r="I97" s="1193">
        <f>I96-H96</f>
        <v>0.23399999999999999</v>
      </c>
      <c r="J97" s="1193">
        <f t="shared" ref="J97:U97" si="7">J96-I96</f>
        <v>0.13900000000000112</v>
      </c>
      <c r="K97" s="1193">
        <f t="shared" si="7"/>
        <v>0</v>
      </c>
      <c r="L97" s="1193">
        <f t="shared" si="7"/>
        <v>3.9999999999999147E-2</v>
      </c>
      <c r="M97" s="1193">
        <f t="shared" si="7"/>
        <v>4.8999999999999488E-2</v>
      </c>
      <c r="N97" s="1193">
        <f t="shared" si="7"/>
        <v>0</v>
      </c>
      <c r="O97" s="1193">
        <f t="shared" si="7"/>
        <v>2.7000000000001023E-2</v>
      </c>
      <c r="P97" s="1193">
        <f t="shared" si="7"/>
        <v>6.0000000000002274E-3</v>
      </c>
      <c r="Q97" s="1193">
        <f t="shared" si="7"/>
        <v>1.4200000000030855E-4</v>
      </c>
      <c r="R97" s="1193">
        <f t="shared" si="7"/>
        <v>2.9183999999998989E-2</v>
      </c>
      <c r="S97" s="1193">
        <f t="shared" si="7"/>
        <v>9.0802000000000049E-2</v>
      </c>
      <c r="T97" s="1193">
        <f t="shared" si="7"/>
        <v>1.7516999999999783E-2</v>
      </c>
      <c r="U97" s="1196">
        <f t="shared" si="7"/>
        <v>1.6100000000029979E-4</v>
      </c>
    </row>
    <row r="98" spans="3:21" ht="19.5" customHeight="1">
      <c r="C98" s="1188" t="s">
        <v>1091</v>
      </c>
      <c r="F98" s="445" t="s">
        <v>232</v>
      </c>
      <c r="G98" s="750"/>
      <c r="H98" s="445">
        <v>2.835</v>
      </c>
      <c r="I98" s="445">
        <v>2.601</v>
      </c>
      <c r="J98" s="445">
        <v>2.6</v>
      </c>
      <c r="K98" s="445">
        <v>2.609</v>
      </c>
      <c r="L98" s="445">
        <v>2.6080000000000001</v>
      </c>
      <c r="M98" s="445">
        <v>2.5720000000000001</v>
      </c>
      <c r="N98" s="445">
        <v>2.5781010000000002</v>
      </c>
      <c r="O98" s="445">
        <v>2.603526</v>
      </c>
      <c r="P98" s="445">
        <v>2.6036820000000001</v>
      </c>
      <c r="Q98" s="445">
        <v>2.5870860000000002</v>
      </c>
      <c r="R98" s="445">
        <v>2.5579019999999999</v>
      </c>
      <c r="S98" s="445">
        <v>2.558144</v>
      </c>
      <c r="T98" s="445">
        <v>2.5406270000000002</v>
      </c>
      <c r="U98" s="750">
        <v>2.5401939999999996</v>
      </c>
    </row>
    <row r="99" spans="3:21" ht="19.5" customHeight="1">
      <c r="C99" s="1194" t="s">
        <v>1103</v>
      </c>
      <c r="D99" s="1191"/>
      <c r="E99" s="1191"/>
      <c r="F99" s="1191" t="s">
        <v>232</v>
      </c>
      <c r="G99" s="1192"/>
      <c r="H99" s="1191"/>
      <c r="I99" s="1193">
        <f>I98-H98</f>
        <v>-0.23399999999999999</v>
      </c>
      <c r="J99" s="1193">
        <f t="shared" ref="J99:U99" si="8">J98-I98</f>
        <v>-9.9999999999988987E-4</v>
      </c>
      <c r="K99" s="1193">
        <f t="shared" si="8"/>
        <v>8.999999999999897E-3</v>
      </c>
      <c r="L99" s="1193">
        <f t="shared" si="8"/>
        <v>-9.9999999999988987E-4</v>
      </c>
      <c r="M99" s="1193">
        <f t="shared" si="8"/>
        <v>-3.6000000000000032E-2</v>
      </c>
      <c r="N99" s="1193">
        <f t="shared" si="8"/>
        <v>6.1010000000001341E-3</v>
      </c>
      <c r="O99" s="1193">
        <f t="shared" si="8"/>
        <v>2.5424999999999809E-2</v>
      </c>
      <c r="P99" s="1193">
        <f t="shared" si="8"/>
        <v>1.5600000000004499E-4</v>
      </c>
      <c r="Q99" s="1193">
        <f t="shared" si="8"/>
        <v>-1.6595999999999833E-2</v>
      </c>
      <c r="R99" s="1193">
        <f t="shared" si="8"/>
        <v>-2.9184000000000321E-2</v>
      </c>
      <c r="S99" s="1193">
        <f t="shared" si="8"/>
        <v>2.4200000000007549E-4</v>
      </c>
      <c r="T99" s="1193">
        <f t="shared" si="8"/>
        <v>-1.7516999999999783E-2</v>
      </c>
      <c r="U99" s="1196">
        <f t="shared" si="8"/>
        <v>-4.3300000000057182E-4</v>
      </c>
    </row>
    <row r="100" spans="3:21" ht="19.5" customHeight="1">
      <c r="C100" s="1188" t="s">
        <v>1102</v>
      </c>
      <c r="F100" s="445" t="s">
        <v>232</v>
      </c>
      <c r="G100" s="750"/>
      <c r="H100" s="445">
        <v>9.7569999999999997</v>
      </c>
      <c r="I100" s="445">
        <v>9.6310000000000002</v>
      </c>
      <c r="J100" s="445">
        <v>9.6579999999999995</v>
      </c>
      <c r="K100" s="445">
        <v>9.6446699999999996</v>
      </c>
      <c r="L100" s="445">
        <v>9.633464</v>
      </c>
      <c r="M100" s="445">
        <v>9.6225139999999989</v>
      </c>
      <c r="N100" s="445">
        <v>9.0440170000000002</v>
      </c>
      <c r="O100" s="445">
        <v>9.5514120000000009</v>
      </c>
      <c r="P100" s="445">
        <v>9.5219060000000013</v>
      </c>
      <c r="Q100" s="445">
        <v>9.6977180000000001</v>
      </c>
      <c r="R100" s="445">
        <v>9.7042749999999991</v>
      </c>
      <c r="S100" s="445">
        <v>9.4727350000000001</v>
      </c>
      <c r="T100" s="445">
        <v>9.4739170000000001</v>
      </c>
      <c r="U100" s="750">
        <v>8.5760000000000005</v>
      </c>
    </row>
    <row r="101" spans="3:21" ht="19.5" customHeight="1">
      <c r="C101" s="1197" t="s">
        <v>1103</v>
      </c>
      <c r="D101" s="1198"/>
      <c r="E101" s="1198"/>
      <c r="F101" s="1198"/>
      <c r="G101" s="1199"/>
      <c r="H101" s="1198"/>
      <c r="I101" s="1200">
        <f>I100-H100</f>
        <v>-0.12599999999999945</v>
      </c>
      <c r="J101" s="1200">
        <f t="shared" ref="J101:U101" si="9">J100-I100</f>
        <v>2.6999999999999247E-2</v>
      </c>
      <c r="K101" s="1200">
        <f t="shared" si="9"/>
        <v>-1.3329999999999842E-2</v>
      </c>
      <c r="L101" s="1200">
        <f t="shared" si="9"/>
        <v>-1.1205999999999605E-2</v>
      </c>
      <c r="M101" s="1200">
        <f t="shared" si="9"/>
        <v>-1.0950000000001125E-2</v>
      </c>
      <c r="N101" s="1200">
        <f t="shared" si="9"/>
        <v>-0.57849699999999871</v>
      </c>
      <c r="O101" s="1200">
        <f t="shared" si="9"/>
        <v>0.50739500000000071</v>
      </c>
      <c r="P101" s="1200">
        <f t="shared" si="9"/>
        <v>-2.9505999999999588E-2</v>
      </c>
      <c r="Q101" s="1200">
        <f t="shared" si="9"/>
        <v>0.17581199999999875</v>
      </c>
      <c r="R101" s="1200">
        <f t="shared" si="9"/>
        <v>6.5569999999990358E-3</v>
      </c>
      <c r="S101" s="1200">
        <f t="shared" si="9"/>
        <v>-0.23153999999999897</v>
      </c>
      <c r="T101" s="1200">
        <f t="shared" si="9"/>
        <v>1.1820000000000164E-3</v>
      </c>
      <c r="U101" s="1201">
        <f t="shared" si="9"/>
        <v>-0.89791699999999963</v>
      </c>
    </row>
    <row r="102" spans="3:21" ht="19.5" customHeight="1">
      <c r="C102" s="1189"/>
    </row>
    <row r="103" spans="3:21" ht="19.5" customHeight="1">
      <c r="C103" s="445" t="s">
        <v>1104</v>
      </c>
    </row>
    <row r="104" spans="3:21" ht="19.5" customHeight="1">
      <c r="C104" s="445" t="s">
        <v>1106</v>
      </c>
    </row>
    <row r="105" spans="3:21" ht="19.5" customHeight="1"/>
    <row r="106" spans="3:21" ht="19.5" customHeight="1">
      <c r="C106" s="743" t="s">
        <v>1105</v>
      </c>
      <c r="D106" s="749"/>
      <c r="E106" s="749"/>
      <c r="F106" s="769" t="s">
        <v>1111</v>
      </c>
      <c r="G106" s="769">
        <f>((T96+T98)-(I96+I98))*10^3</f>
        <v>338.27199999999993</v>
      </c>
      <c r="H106" s="1213">
        <f>G106/(G106+G110)</f>
        <v>9.3380133820418591E-3</v>
      </c>
    </row>
    <row r="107" spans="3:21" ht="19.5" customHeight="1">
      <c r="C107" s="751" t="s">
        <v>1107</v>
      </c>
      <c r="F107" s="750" t="s">
        <v>232</v>
      </c>
      <c r="G107" s="750">
        <f>(T91-I91)*10^3</f>
        <v>1021.1439999999925</v>
      </c>
      <c r="H107" s="1214">
        <f>G107/(G106+G110)</f>
        <v>2.8188724863398934E-2</v>
      </c>
    </row>
    <row r="108" spans="3:21" ht="19.5" customHeight="1">
      <c r="C108" s="751" t="s">
        <v>1108</v>
      </c>
      <c r="F108" s="750" t="s">
        <v>232</v>
      </c>
      <c r="G108" s="750">
        <f>(T100-I100)*10^3</f>
        <v>-157.08300000000008</v>
      </c>
      <c r="H108" s="792"/>
    </row>
    <row r="109" spans="3:21" ht="19.5" customHeight="1">
      <c r="C109" s="751" t="s">
        <v>1109</v>
      </c>
      <c r="F109" s="750" t="s">
        <v>232</v>
      </c>
      <c r="G109" s="750">
        <f>(T93-I93)*10^3</f>
        <v>35022.931000000084</v>
      </c>
      <c r="H109" s="792">
        <f>1-(H106+H107)</f>
        <v>0.96247326175455916</v>
      </c>
    </row>
    <row r="110" spans="3:21" ht="19.5" customHeight="1">
      <c r="C110" s="1202" t="s">
        <v>1110</v>
      </c>
      <c r="D110" s="1198"/>
      <c r="E110" s="1198"/>
      <c r="F110" s="1199" t="s">
        <v>232</v>
      </c>
      <c r="G110" s="1199">
        <f>G109+G108+G107</f>
        <v>35886.992000000078</v>
      </c>
      <c r="H110" s="1203">
        <f>G110/(G110+G106)</f>
        <v>0.99066198661795823</v>
      </c>
    </row>
    <row r="111" spans="3:21" ht="19.5" customHeight="1"/>
    <row r="112" spans="3:21" ht="19.5" customHeight="1">
      <c r="C112" s="445" t="s">
        <v>1112</v>
      </c>
    </row>
    <row r="113" spans="1:11" ht="19.5" customHeight="1"/>
    <row r="114" spans="1:11" ht="19.5" customHeight="1">
      <c r="C114" s="445" t="s">
        <v>1113</v>
      </c>
    </row>
    <row r="115" spans="1:11" ht="19.5" customHeight="1">
      <c r="C115" s="445" t="s">
        <v>1114</v>
      </c>
    </row>
    <row r="116" spans="1:11" ht="19.5" customHeight="1">
      <c r="C116" s="765" t="s">
        <v>1115</v>
      </c>
      <c r="D116" s="762"/>
      <c r="E116" s="762"/>
      <c r="F116" s="762" t="s">
        <v>1116</v>
      </c>
      <c r="G116" s="762">
        <f>SUM(I83:T83)</f>
        <v>16886.953099999999</v>
      </c>
      <c r="H116" s="790"/>
    </row>
    <row r="117" spans="1:11" ht="19.5" customHeight="1"/>
    <row r="118" spans="1:11" ht="19.5" customHeight="1">
      <c r="C118" s="445" t="s">
        <v>1117</v>
      </c>
    </row>
    <row r="119" spans="1:11" ht="19.5" customHeight="1">
      <c r="A119" s="742" t="s">
        <v>783</v>
      </c>
      <c r="C119" s="297" t="s">
        <v>784</v>
      </c>
    </row>
    <row r="120" spans="1:11" ht="19.5" customHeight="1">
      <c r="K120" s="445" t="s">
        <v>1126</v>
      </c>
    </row>
    <row r="121" spans="1:11" ht="19.5" customHeight="1">
      <c r="C121" s="445" t="s">
        <v>1118</v>
      </c>
    </row>
    <row r="122" spans="1:11" ht="19.5" customHeight="1">
      <c r="C122" s="743" t="s">
        <v>1119</v>
      </c>
      <c r="D122" s="749"/>
      <c r="E122" s="749"/>
      <c r="F122" s="749" t="s">
        <v>1120</v>
      </c>
      <c r="G122" s="749">
        <v>8</v>
      </c>
      <c r="H122" s="769"/>
    </row>
    <row r="123" spans="1:11" ht="19.5" customHeight="1">
      <c r="C123" s="779" t="s">
        <v>1121</v>
      </c>
      <c r="D123" s="757"/>
      <c r="E123" s="757"/>
      <c r="F123" s="757" t="s">
        <v>623</v>
      </c>
      <c r="G123" s="757">
        <f>G116/G122*10</f>
        <v>21108.691374999999</v>
      </c>
      <c r="H123" s="758"/>
    </row>
    <row r="124" spans="1:11" ht="19.5" customHeight="1"/>
    <row r="125" spans="1:11" ht="19.5" customHeight="1">
      <c r="C125" s="445" t="s">
        <v>1122</v>
      </c>
    </row>
    <row r="126" spans="1:11" ht="22" customHeight="1"/>
    <row r="127" spans="1:11" ht="19.5" customHeight="1">
      <c r="A127" s="120" t="s">
        <v>895</v>
      </c>
      <c r="B127" s="801"/>
      <c r="C127" s="803" t="s">
        <v>1125</v>
      </c>
      <c r="D127" s="803"/>
      <c r="E127" s="1179"/>
      <c r="F127" s="808"/>
    </row>
    <row r="128" spans="1:11" ht="19" customHeight="1">
      <c r="A128" s="801"/>
      <c r="B128" s="801"/>
      <c r="C128" s="1210" t="s">
        <v>1144</v>
      </c>
      <c r="D128" s="1211"/>
      <c r="E128" s="1204"/>
      <c r="F128" s="1205" t="s">
        <v>1120</v>
      </c>
      <c r="G128" s="1211">
        <v>22.5</v>
      </c>
      <c r="H128" s="769"/>
    </row>
    <row r="129" spans="1:21" ht="19.5" customHeight="1">
      <c r="A129" s="801"/>
      <c r="B129" s="801"/>
      <c r="C129" s="1212" t="s">
        <v>1123</v>
      </c>
      <c r="D129" s="803"/>
      <c r="E129" s="1179"/>
      <c r="F129" s="808" t="s">
        <v>1120</v>
      </c>
      <c r="G129" s="445">
        <v>9.75</v>
      </c>
      <c r="H129" s="750"/>
    </row>
    <row r="130" spans="1:21" ht="19.5" customHeight="1">
      <c r="A130" s="120" t="s">
        <v>1130</v>
      </c>
      <c r="B130" s="801"/>
      <c r="C130" s="1206" t="s">
        <v>1124</v>
      </c>
      <c r="D130" s="1207"/>
      <c r="E130" s="1208"/>
      <c r="F130" s="1209" t="s">
        <v>1120</v>
      </c>
      <c r="G130" s="757">
        <v>5</v>
      </c>
      <c r="H130" s="758"/>
    </row>
    <row r="131" spans="1:21" ht="19.5" customHeight="1"/>
    <row r="132" spans="1:21" ht="19.5" customHeight="1">
      <c r="C132" s="445" t="s">
        <v>1127</v>
      </c>
    </row>
    <row r="133" spans="1:21" ht="19.5" customHeight="1">
      <c r="C133" s="765" t="s">
        <v>1128</v>
      </c>
      <c r="D133" s="762"/>
      <c r="E133" s="762"/>
      <c r="F133" s="762" t="s">
        <v>623</v>
      </c>
      <c r="G133" s="762">
        <f>(H106/G128+H107/G129+H109/G130)*G116*10</f>
        <v>33064.7937296483</v>
      </c>
      <c r="H133" s="790"/>
    </row>
    <row r="134" spans="1:21" ht="19.5" customHeight="1"/>
    <row r="135" spans="1:21" ht="19.5" customHeight="1">
      <c r="C135" s="778" t="s">
        <v>1129</v>
      </c>
      <c r="D135" s="778"/>
      <c r="E135" s="778"/>
      <c r="F135" s="778"/>
      <c r="G135" s="778"/>
      <c r="H135" s="778"/>
      <c r="I135" s="778"/>
    </row>
    <row r="136" spans="1:21" ht="19.5" customHeight="1"/>
    <row r="137" spans="1:21" ht="19.5" customHeight="1">
      <c r="C137" s="445" t="s">
        <v>1131</v>
      </c>
    </row>
    <row r="138" spans="1:21" ht="19.5" customHeight="1"/>
    <row r="139" spans="1:21" ht="19.5" customHeight="1">
      <c r="A139" s="120" t="s">
        <v>892</v>
      </c>
      <c r="B139"/>
      <c r="C139" s="15" t="s">
        <v>891</v>
      </c>
      <c r="D139"/>
      <c r="E139"/>
      <c r="F139"/>
      <c r="G139"/>
      <c r="H139" s="156">
        <v>2011</v>
      </c>
      <c r="I139" s="157">
        <v>2012</v>
      </c>
      <c r="J139" s="157">
        <v>2013</v>
      </c>
      <c r="K139" s="157">
        <v>2014</v>
      </c>
      <c r="L139" s="157">
        <v>2015</v>
      </c>
      <c r="M139" s="157">
        <v>2016</v>
      </c>
      <c r="N139" s="45">
        <v>2017</v>
      </c>
      <c r="O139" s="45">
        <v>2018</v>
      </c>
      <c r="P139" s="45">
        <v>2019</v>
      </c>
      <c r="Q139" s="45">
        <v>2020</v>
      </c>
      <c r="R139" s="45">
        <v>2021</v>
      </c>
      <c r="S139" s="45">
        <v>2022</v>
      </c>
      <c r="T139" s="45">
        <v>2023</v>
      </c>
      <c r="U139" s="822">
        <v>2024</v>
      </c>
    </row>
    <row r="140" spans="1:21" ht="19.5" customHeight="1">
      <c r="A140"/>
      <c r="B140"/>
      <c r="C140" s="15"/>
      <c r="D140"/>
      <c r="E140"/>
      <c r="F140" s="1162" t="s">
        <v>893</v>
      </c>
      <c r="G140"/>
      <c r="H140" s="69">
        <v>30611.921699999999</v>
      </c>
      <c r="I140" s="70">
        <v>28543.778699999999</v>
      </c>
      <c r="J140" s="70">
        <v>26549.1505</v>
      </c>
      <c r="K140" s="70">
        <v>23653.777600000001</v>
      </c>
      <c r="L140" s="70">
        <v>21025.8285</v>
      </c>
      <c r="M140" s="70">
        <v>22345.332699999999</v>
      </c>
      <c r="N140" s="70">
        <v>22121.909</v>
      </c>
      <c r="O140" s="70">
        <v>21964.553400000001</v>
      </c>
      <c r="P140" s="70">
        <v>19503.573100000001</v>
      </c>
      <c r="Q140" s="70">
        <v>20551.469700000001</v>
      </c>
      <c r="R140" s="70">
        <v>20851.154299999998</v>
      </c>
      <c r="S140" s="70">
        <v>20250.931</v>
      </c>
      <c r="T140" s="70">
        <v>19263</v>
      </c>
      <c r="U140" s="1220"/>
    </row>
    <row r="141" spans="1:21" ht="19.5" customHeight="1">
      <c r="A141"/>
      <c r="B141"/>
      <c r="C141"/>
      <c r="D141"/>
      <c r="E141"/>
      <c r="F141" s="342" t="s">
        <v>894</v>
      </c>
      <c r="G141"/>
      <c r="H141" s="71">
        <v>2111.3373000000001</v>
      </c>
      <c r="I141">
        <v>2099.7325000000001</v>
      </c>
      <c r="J141">
        <v>1966.441</v>
      </c>
      <c r="K141">
        <v>1578.9203</v>
      </c>
      <c r="L141">
        <v>1360.2265</v>
      </c>
      <c r="M141">
        <v>1444.0726</v>
      </c>
      <c r="N141">
        <v>1396.4537</v>
      </c>
      <c r="O141">
        <v>1446.9985999999999</v>
      </c>
      <c r="P141">
        <v>1194.5083</v>
      </c>
      <c r="Q141">
        <v>1378.0734</v>
      </c>
      <c r="R141">
        <v>1138.3244</v>
      </c>
      <c r="S141">
        <v>1062.3833</v>
      </c>
      <c r="T141">
        <v>820.81849999999997</v>
      </c>
      <c r="U141" s="31"/>
    </row>
    <row r="142" spans="1:21" ht="19.5" customHeight="1">
      <c r="F142" s="1215" t="s">
        <v>1132</v>
      </c>
      <c r="H142" s="779">
        <f>H141*$H$110</f>
        <v>2091.6216040385962</v>
      </c>
      <c r="I142" s="757">
        <f t="shared" ref="I142:T142" si="10">I141*$H$110</f>
        <v>2080.1251698162919</v>
      </c>
      <c r="J142" s="757">
        <f t="shared" si="10"/>
        <v>1948.0783476270044</v>
      </c>
      <c r="K142" s="757">
        <f t="shared" si="10"/>
        <v>1564.1763211094226</v>
      </c>
      <c r="L142" s="757">
        <f t="shared" si="10"/>
        <v>1347.5246867403921</v>
      </c>
      <c r="M142" s="757">
        <f t="shared" si="10"/>
        <v>1430.5878307365601</v>
      </c>
      <c r="N142" s="757">
        <f t="shared" si="10"/>
        <v>1383.4135966619983</v>
      </c>
      <c r="O142" s="757">
        <f t="shared" si="10"/>
        <v>1433.4865077094041</v>
      </c>
      <c r="P142" s="757">
        <f t="shared" si="10"/>
        <v>1183.3539655096399</v>
      </c>
      <c r="Q142" s="757">
        <f t="shared" si="10"/>
        <v>1365.2049321493641</v>
      </c>
      <c r="R142" s="757">
        <f t="shared" si="10"/>
        <v>1127.6947115196954</v>
      </c>
      <c r="S142" s="757">
        <f t="shared" si="10"/>
        <v>1052.4627505277422</v>
      </c>
      <c r="T142" s="757">
        <f t="shared" si="10"/>
        <v>813.15368586277248</v>
      </c>
      <c r="U142" s="1199"/>
    </row>
    <row r="143" spans="1:21" ht="19.5" customHeight="1"/>
    <row r="144" spans="1:21" ht="19.5" customHeight="1">
      <c r="C144" s="445" t="s">
        <v>1133</v>
      </c>
    </row>
    <row r="145" spans="1:21" ht="19.5" customHeight="1">
      <c r="C145" s="765" t="s">
        <v>1134</v>
      </c>
      <c r="D145" s="762"/>
      <c r="E145" s="762"/>
      <c r="F145" s="762" t="s">
        <v>1120</v>
      </c>
      <c r="G145" s="762"/>
      <c r="H145" s="790">
        <f>(H107*G129+H109*G130)/(H107+H109)</f>
        <v>5.1351585555011114</v>
      </c>
    </row>
    <row r="146" spans="1:21" ht="19.5" customHeight="1"/>
    <row r="147" spans="1:21" ht="19.5" customHeight="1">
      <c r="H147" s="156">
        <v>2011</v>
      </c>
      <c r="I147" s="157">
        <v>2012</v>
      </c>
      <c r="J147" s="157">
        <v>2013</v>
      </c>
      <c r="K147" s="157">
        <v>2014</v>
      </c>
      <c r="L147" s="157">
        <v>2015</v>
      </c>
      <c r="M147" s="157">
        <v>2016</v>
      </c>
      <c r="N147" s="45">
        <v>2017</v>
      </c>
      <c r="O147" s="45">
        <v>2018</v>
      </c>
      <c r="P147" s="45">
        <v>2019</v>
      </c>
      <c r="Q147" s="45">
        <v>2020</v>
      </c>
      <c r="R147" s="45">
        <v>2021</v>
      </c>
      <c r="S147" s="45">
        <v>2022</v>
      </c>
      <c r="T147" s="45">
        <v>2023</v>
      </c>
      <c r="U147" s="614">
        <v>2024</v>
      </c>
    </row>
    <row r="148" spans="1:21" ht="19.5" customHeight="1">
      <c r="C148" s="765" t="s">
        <v>1135</v>
      </c>
      <c r="D148" s="762"/>
      <c r="E148" s="762"/>
      <c r="F148" s="762" t="s">
        <v>623</v>
      </c>
      <c r="G148" s="762"/>
      <c r="H148" s="765">
        <f>H142/$H$145*10</f>
        <v>4073.1392836895302</v>
      </c>
      <c r="I148" s="762">
        <f t="shared" ref="I148:T148" si="11">I142/$H$145*10</f>
        <v>4050.7515928362686</v>
      </c>
      <c r="J148" s="762">
        <f t="shared" si="11"/>
        <v>3793.6089539827308</v>
      </c>
      <c r="K148" s="762">
        <f t="shared" si="11"/>
        <v>3046.0136804028702</v>
      </c>
      <c r="L148" s="762">
        <f t="shared" si="11"/>
        <v>2624.1150534618591</v>
      </c>
      <c r="M148" s="762">
        <f t="shared" si="11"/>
        <v>2785.8688593052743</v>
      </c>
      <c r="N148" s="762">
        <f t="shared" si="11"/>
        <v>2694.0036645606529</v>
      </c>
      <c r="O148" s="762">
        <f t="shared" si="11"/>
        <v>2791.5136255603275</v>
      </c>
      <c r="P148" s="762">
        <f t="shared" si="11"/>
        <v>2304.4156333633655</v>
      </c>
      <c r="Q148" s="762">
        <f t="shared" si="11"/>
        <v>2658.5448480200653</v>
      </c>
      <c r="R148" s="762">
        <f t="shared" si="11"/>
        <v>2196.0270541435111</v>
      </c>
      <c r="S148" s="762">
        <f t="shared" si="11"/>
        <v>2049.5233772290758</v>
      </c>
      <c r="T148" s="762">
        <f t="shared" si="11"/>
        <v>1583.5025872602707</v>
      </c>
      <c r="U148" s="1222">
        <v>1545.061809653766</v>
      </c>
    </row>
    <row r="149" spans="1:21" ht="19.5" customHeight="1"/>
    <row r="150" spans="1:21" ht="19.5" customHeight="1">
      <c r="C150" s="445" t="s">
        <v>1159</v>
      </c>
    </row>
    <row r="151" spans="1:21" ht="19.5" customHeight="1"/>
    <row r="152" spans="1:21" ht="19.5" customHeight="1">
      <c r="C152" s="445" t="s">
        <v>1136</v>
      </c>
    </row>
    <row r="153" spans="1:21" ht="19.5" customHeight="1"/>
    <row r="154" spans="1:21" ht="19.5" customHeight="1">
      <c r="A154" s="120" t="s">
        <v>762</v>
      </c>
      <c r="C154" t="s">
        <v>1137</v>
      </c>
    </row>
    <row r="155" spans="1:21" ht="19.5" customHeight="1">
      <c r="A155" s="120" t="s">
        <v>895</v>
      </c>
      <c r="C155" s="801" t="s">
        <v>896</v>
      </c>
    </row>
    <row r="156" spans="1:21" ht="19.5" customHeight="1"/>
    <row r="157" spans="1:21" ht="19.5" customHeight="1">
      <c r="C157" s="445" t="s">
        <v>1138</v>
      </c>
    </row>
    <row r="158" spans="1:21" ht="19.5" customHeight="1">
      <c r="C158" s="743" t="s">
        <v>1139</v>
      </c>
      <c r="D158" s="749"/>
      <c r="E158" s="749"/>
      <c r="F158" s="1219">
        <v>2015</v>
      </c>
      <c r="G158" s="1216">
        <f>H158/$H$162</f>
        <v>0.4</v>
      </c>
      <c r="H158" s="769">
        <f>(254000+316000)/2</f>
        <v>285000</v>
      </c>
    </row>
    <row r="159" spans="1:21" ht="19.5" customHeight="1">
      <c r="C159" s="751" t="s">
        <v>1140</v>
      </c>
      <c r="F159" s="445" t="s">
        <v>232</v>
      </c>
      <c r="G159" s="1217">
        <f>H159/$H$162</f>
        <v>0.3</v>
      </c>
      <c r="H159" s="750">
        <f>(H158/0.4)*0.3</f>
        <v>213750</v>
      </c>
    </row>
    <row r="160" spans="1:21" ht="19.5" customHeight="1">
      <c r="C160" s="751" t="s">
        <v>1141</v>
      </c>
      <c r="F160" s="445" t="s">
        <v>232</v>
      </c>
      <c r="G160" s="1217">
        <f>H160/$H$162</f>
        <v>0.25</v>
      </c>
      <c r="H160" s="750">
        <f>(H158/0.4)*0.25</f>
        <v>178125</v>
      </c>
    </row>
    <row r="161" spans="3:192" ht="19.5" customHeight="1">
      <c r="C161" s="779" t="s">
        <v>1142</v>
      </c>
      <c r="D161" s="757"/>
      <c r="E161" s="757"/>
      <c r="F161" s="757" t="s">
        <v>232</v>
      </c>
      <c r="G161" s="1218">
        <f>H161/$H$162</f>
        <v>0.05</v>
      </c>
      <c r="H161" s="758">
        <f>(H158/0.4)*0.05</f>
        <v>35625</v>
      </c>
    </row>
    <row r="162" spans="3:192" ht="19.5" customHeight="1">
      <c r="C162" s="779" t="s">
        <v>1143</v>
      </c>
      <c r="D162" s="757"/>
      <c r="E162" s="757"/>
      <c r="F162" s="757" t="s">
        <v>232</v>
      </c>
      <c r="G162" s="757"/>
      <c r="H162" s="758">
        <f>SUM(H158:H161)</f>
        <v>712500</v>
      </c>
    </row>
    <row r="163" spans="3:192" ht="19.5" customHeight="1"/>
    <row r="164" spans="3:192" ht="19.5" customHeight="1">
      <c r="C164" s="801" t="s">
        <v>897</v>
      </c>
      <c r="D164" s="801"/>
      <c r="E164" s="801"/>
      <c r="F164" s="801"/>
      <c r="G164" s="801"/>
      <c r="H164" s="801"/>
      <c r="I164" s="801"/>
      <c r="J164" s="801"/>
      <c r="K164" s="801"/>
      <c r="L164" s="801"/>
      <c r="M164" s="801"/>
      <c r="N164" s="801"/>
      <c r="O164" s="801"/>
      <c r="P164" s="801"/>
      <c r="Q164" s="801"/>
      <c r="R164" s="801"/>
      <c r="S164" s="801"/>
      <c r="T164" s="801"/>
      <c r="U164" s="801"/>
      <c r="V164" s="801"/>
      <c r="W164" s="801"/>
      <c r="X164" s="801"/>
    </row>
    <row r="165" spans="3:192" ht="19.5" customHeight="1">
      <c r="C165" s="801"/>
      <c r="D165" s="801"/>
      <c r="E165" s="801"/>
      <c r="F165" s="801"/>
      <c r="G165" s="801"/>
      <c r="H165" s="801"/>
      <c r="I165" s="801"/>
      <c r="J165" s="801"/>
      <c r="K165" s="801"/>
      <c r="L165" s="801"/>
      <c r="M165" s="801"/>
      <c r="N165" s="801"/>
      <c r="O165" s="801"/>
      <c r="P165" s="801"/>
      <c r="Q165" s="801"/>
      <c r="R165" s="801"/>
      <c r="S165" s="801"/>
      <c r="T165" s="801"/>
      <c r="U165" s="801"/>
      <c r="V165" s="801"/>
      <c r="W165" s="801"/>
      <c r="X165" s="801"/>
    </row>
    <row r="166" spans="3:192" ht="19.5" customHeight="1">
      <c r="C166" s="1169" t="s">
        <v>898</v>
      </c>
      <c r="D166" s="1169" t="s">
        <v>899</v>
      </c>
      <c r="E166" s="1169" t="s">
        <v>900</v>
      </c>
      <c r="F166" s="1169" t="s">
        <v>901</v>
      </c>
      <c r="G166" s="1169" t="s">
        <v>902</v>
      </c>
      <c r="H166" s="1169" t="s">
        <v>903</v>
      </c>
      <c r="I166" s="1169" t="s">
        <v>904</v>
      </c>
      <c r="J166" s="1169" t="s">
        <v>905</v>
      </c>
      <c r="K166" s="1169" t="s">
        <v>906</v>
      </c>
      <c r="L166" s="1169" t="s">
        <v>907</v>
      </c>
      <c r="M166" s="1169" t="s">
        <v>908</v>
      </c>
      <c r="N166" s="1169" t="s">
        <v>909</v>
      </c>
      <c r="O166" s="1169" t="s">
        <v>910</v>
      </c>
      <c r="P166" s="1169" t="s">
        <v>911</v>
      </c>
      <c r="Q166" s="1169" t="s">
        <v>912</v>
      </c>
      <c r="R166" s="1169" t="s">
        <v>913</v>
      </c>
      <c r="S166" s="1169" t="s">
        <v>914</v>
      </c>
      <c r="T166" s="1169" t="s">
        <v>915</v>
      </c>
      <c r="U166" s="1169" t="s">
        <v>916</v>
      </c>
      <c r="V166" s="1169" t="s">
        <v>917</v>
      </c>
      <c r="W166" s="1169" t="s">
        <v>918</v>
      </c>
      <c r="X166" s="1169" t="s">
        <v>919</v>
      </c>
      <c r="Y166" s="1169" t="s">
        <v>920</v>
      </c>
      <c r="Z166" s="1169" t="s">
        <v>921</v>
      </c>
      <c r="AA166" s="1169" t="s">
        <v>922</v>
      </c>
      <c r="AB166" s="1169" t="s">
        <v>923</v>
      </c>
      <c r="AC166" s="1169" t="s">
        <v>924</v>
      </c>
      <c r="AD166" s="1169" t="s">
        <v>925</v>
      </c>
      <c r="AE166" s="1169" t="s">
        <v>926</v>
      </c>
      <c r="AF166" s="1169" t="s">
        <v>927</v>
      </c>
      <c r="AG166" s="1169" t="s">
        <v>928</v>
      </c>
      <c r="AH166" s="1169" t="s">
        <v>929</v>
      </c>
      <c r="AI166" s="1169" t="s">
        <v>930</v>
      </c>
      <c r="AJ166" s="1169" t="s">
        <v>931</v>
      </c>
      <c r="AK166" s="1169" t="s">
        <v>932</v>
      </c>
      <c r="AL166" s="1169" t="s">
        <v>933</v>
      </c>
      <c r="AM166" s="1169" t="s">
        <v>934</v>
      </c>
      <c r="AN166" s="1169" t="s">
        <v>935</v>
      </c>
      <c r="AO166" s="1169" t="s">
        <v>936</v>
      </c>
      <c r="AP166" s="1169" t="s">
        <v>937</v>
      </c>
      <c r="AQ166" s="1169" t="s">
        <v>938</v>
      </c>
      <c r="AR166" s="1169" t="s">
        <v>939</v>
      </c>
      <c r="AS166" s="1169" t="s">
        <v>940</v>
      </c>
      <c r="AT166" s="1169" t="s">
        <v>941</v>
      </c>
      <c r="AU166" s="1169" t="s">
        <v>942</v>
      </c>
      <c r="AV166" s="1169" t="s">
        <v>943</v>
      </c>
      <c r="AW166" s="1169" t="s">
        <v>944</v>
      </c>
      <c r="AX166" s="1169" t="s">
        <v>945</v>
      </c>
      <c r="AY166" s="1169" t="s">
        <v>946</v>
      </c>
      <c r="AZ166" s="1169" t="s">
        <v>947</v>
      </c>
      <c r="BA166" s="1169" t="s">
        <v>948</v>
      </c>
      <c r="BB166" s="1169" t="s">
        <v>949</v>
      </c>
      <c r="BC166" s="1169" t="s">
        <v>950</v>
      </c>
      <c r="BD166" s="1169" t="s">
        <v>951</v>
      </c>
      <c r="BE166" s="1169" t="s">
        <v>952</v>
      </c>
      <c r="BF166" s="1169" t="s">
        <v>953</v>
      </c>
      <c r="BG166" s="1169" t="s">
        <v>954</v>
      </c>
      <c r="BH166" s="1169" t="s">
        <v>955</v>
      </c>
      <c r="BI166" s="1169" t="s">
        <v>956</v>
      </c>
      <c r="BJ166" s="1169" t="s">
        <v>957</v>
      </c>
      <c r="BK166" s="1169" t="s">
        <v>958</v>
      </c>
      <c r="BL166" s="1169" t="s">
        <v>959</v>
      </c>
      <c r="BM166" s="1169" t="s">
        <v>960</v>
      </c>
      <c r="BN166" s="1169" t="s">
        <v>961</v>
      </c>
      <c r="BO166" s="1169" t="s">
        <v>962</v>
      </c>
      <c r="BP166" s="1169" t="s">
        <v>963</v>
      </c>
      <c r="BQ166" s="1169" t="s">
        <v>964</v>
      </c>
      <c r="BR166" s="1169" t="s">
        <v>965</v>
      </c>
      <c r="BS166" s="1169" t="s">
        <v>966</v>
      </c>
      <c r="BT166" s="1169" t="s">
        <v>967</v>
      </c>
      <c r="BU166" s="1169" t="s">
        <v>968</v>
      </c>
      <c r="BV166" s="1169" t="s">
        <v>969</v>
      </c>
      <c r="BW166" s="1169" t="s">
        <v>970</v>
      </c>
      <c r="BX166" s="1169" t="s">
        <v>971</v>
      </c>
      <c r="BY166" s="1169" t="s">
        <v>972</v>
      </c>
      <c r="BZ166" s="1169" t="s">
        <v>973</v>
      </c>
      <c r="CA166" s="1169" t="s">
        <v>974</v>
      </c>
      <c r="CB166" s="1169" t="s">
        <v>975</v>
      </c>
      <c r="CC166" s="1169" t="s">
        <v>976</v>
      </c>
      <c r="CD166" s="1169" t="s">
        <v>977</v>
      </c>
      <c r="CE166" s="1169" t="s">
        <v>978</v>
      </c>
      <c r="CF166" s="1169" t="s">
        <v>979</v>
      </c>
      <c r="CG166" s="1169" t="s">
        <v>980</v>
      </c>
      <c r="CH166" s="1169" t="s">
        <v>981</v>
      </c>
      <c r="CI166" s="1169" t="s">
        <v>982</v>
      </c>
      <c r="CJ166" s="1169" t="s">
        <v>983</v>
      </c>
      <c r="CK166" s="1169" t="s">
        <v>984</v>
      </c>
      <c r="CL166" s="1169" t="s">
        <v>985</v>
      </c>
      <c r="CM166" s="1169" t="s">
        <v>986</v>
      </c>
      <c r="CN166" s="1169" t="s">
        <v>987</v>
      </c>
      <c r="CO166" s="1169" t="s">
        <v>988</v>
      </c>
      <c r="CP166" s="1169" t="s">
        <v>989</v>
      </c>
      <c r="CQ166" s="1169" t="s">
        <v>990</v>
      </c>
      <c r="CR166" s="1169" t="s">
        <v>991</v>
      </c>
      <c r="CS166" s="1169" t="s">
        <v>992</v>
      </c>
      <c r="CT166" s="1169" t="s">
        <v>993</v>
      </c>
      <c r="CU166" s="1169" t="s">
        <v>994</v>
      </c>
      <c r="CV166" s="1169" t="s">
        <v>995</v>
      </c>
      <c r="CW166" s="1169" t="s">
        <v>996</v>
      </c>
      <c r="CX166" s="1169" t="s">
        <v>997</v>
      </c>
      <c r="CY166" s="1169" t="s">
        <v>998</v>
      </c>
      <c r="CZ166" s="1169" t="s">
        <v>999</v>
      </c>
      <c r="DA166" s="1169" t="s">
        <v>1000</v>
      </c>
      <c r="DB166" s="1169" t="s">
        <v>1001</v>
      </c>
      <c r="DC166" s="1169" t="s">
        <v>1002</v>
      </c>
      <c r="DD166" s="1169" t="s">
        <v>1003</v>
      </c>
      <c r="DE166" s="1169" t="s">
        <v>1004</v>
      </c>
      <c r="DF166" s="1169" t="s">
        <v>1005</v>
      </c>
      <c r="DG166" s="1169" t="s">
        <v>1006</v>
      </c>
      <c r="DH166" s="1169" t="s">
        <v>1007</v>
      </c>
      <c r="DI166" s="1169" t="s">
        <v>1008</v>
      </c>
      <c r="DJ166" s="1169" t="s">
        <v>1009</v>
      </c>
      <c r="DK166" s="1169" t="s">
        <v>1010</v>
      </c>
      <c r="DL166" s="1169" t="s">
        <v>1011</v>
      </c>
      <c r="DM166" s="1169" t="s">
        <v>1012</v>
      </c>
      <c r="DN166" s="1169" t="s">
        <v>1013</v>
      </c>
      <c r="DO166" s="1169" t="s">
        <v>1014</v>
      </c>
      <c r="DP166" s="1169" t="s">
        <v>1015</v>
      </c>
      <c r="DQ166" s="1169" t="s">
        <v>1016</v>
      </c>
      <c r="DR166" s="1169" t="s">
        <v>1017</v>
      </c>
      <c r="DS166" s="1169" t="s">
        <v>1018</v>
      </c>
      <c r="DT166" s="1169" t="s">
        <v>1019</v>
      </c>
      <c r="DU166" s="1169" t="s">
        <v>1020</v>
      </c>
      <c r="DV166" s="1169" t="s">
        <v>1021</v>
      </c>
      <c r="DW166" s="1169" t="s">
        <v>1022</v>
      </c>
      <c r="DX166" s="1169" t="s">
        <v>1023</v>
      </c>
      <c r="DY166" s="1169" t="s">
        <v>1024</v>
      </c>
      <c r="DZ166" s="1169" t="s">
        <v>1025</v>
      </c>
      <c r="EA166" s="1169" t="s">
        <v>1026</v>
      </c>
      <c r="EB166" s="1169" t="s">
        <v>1027</v>
      </c>
      <c r="EC166" s="1169" t="s">
        <v>1028</v>
      </c>
      <c r="ED166" s="1169" t="s">
        <v>1029</v>
      </c>
      <c r="EE166" s="1169" t="s">
        <v>1030</v>
      </c>
      <c r="EF166" s="1169" t="s">
        <v>1031</v>
      </c>
      <c r="EG166" s="1169" t="s">
        <v>1032</v>
      </c>
      <c r="EH166" s="1169" t="s">
        <v>1033</v>
      </c>
      <c r="EI166" s="1169" t="s">
        <v>1034</v>
      </c>
      <c r="EJ166" s="1169" t="s">
        <v>1035</v>
      </c>
      <c r="EK166" s="1169" t="s">
        <v>1036</v>
      </c>
      <c r="EL166" s="1169" t="s">
        <v>1037</v>
      </c>
      <c r="EM166" s="1169" t="s">
        <v>1038</v>
      </c>
      <c r="EN166" s="1169" t="s">
        <v>1039</v>
      </c>
      <c r="EO166" s="1169" t="s">
        <v>1040</v>
      </c>
      <c r="EP166" s="1169" t="s">
        <v>1041</v>
      </c>
      <c r="EQ166" s="1169" t="s">
        <v>1042</v>
      </c>
      <c r="ER166" s="1169" t="s">
        <v>1043</v>
      </c>
      <c r="ES166" s="1169" t="s">
        <v>1044</v>
      </c>
      <c r="ET166" s="1169" t="s">
        <v>1045</v>
      </c>
      <c r="EU166" s="1169" t="s">
        <v>1046</v>
      </c>
      <c r="EV166" s="1169" t="s">
        <v>1047</v>
      </c>
      <c r="EW166" s="1169" t="s">
        <v>1048</v>
      </c>
      <c r="EX166" s="1169" t="s">
        <v>1049</v>
      </c>
      <c r="EY166" s="1169" t="s">
        <v>1050</v>
      </c>
      <c r="EZ166" s="1169" t="s">
        <v>1051</v>
      </c>
      <c r="FA166" s="1169" t="s">
        <v>1052</v>
      </c>
      <c r="FB166" s="1169" t="s">
        <v>1053</v>
      </c>
      <c r="FC166" s="1169" t="s">
        <v>1054</v>
      </c>
      <c r="FD166" s="1169" t="s">
        <v>1055</v>
      </c>
      <c r="FE166" s="1169" t="s">
        <v>1056</v>
      </c>
      <c r="FF166" s="1169" t="s">
        <v>1057</v>
      </c>
      <c r="FG166" s="1169" t="s">
        <v>1058</v>
      </c>
      <c r="FH166" s="1169" t="s">
        <v>1059</v>
      </c>
      <c r="FI166" s="1169" t="s">
        <v>1060</v>
      </c>
      <c r="FJ166" s="1169" t="s">
        <v>1061</v>
      </c>
      <c r="FK166" s="1169" t="s">
        <v>1062</v>
      </c>
      <c r="FL166" s="1169" t="s">
        <v>1063</v>
      </c>
      <c r="FM166" s="1169" t="s">
        <v>1064</v>
      </c>
      <c r="FN166" s="1169" t="s">
        <v>1065</v>
      </c>
      <c r="FO166" s="1169" t="s">
        <v>1066</v>
      </c>
      <c r="FP166" s="1169" t="s">
        <v>1067</v>
      </c>
      <c r="FQ166" s="1169" t="s">
        <v>1068</v>
      </c>
      <c r="FR166" s="1169" t="s">
        <v>1069</v>
      </c>
      <c r="FS166" s="1169" t="s">
        <v>1070</v>
      </c>
      <c r="FT166" s="1169" t="s">
        <v>1071</v>
      </c>
      <c r="FU166" s="1169" t="s">
        <v>1072</v>
      </c>
      <c r="FV166" s="1169" t="s">
        <v>1073</v>
      </c>
      <c r="FW166" s="1169" t="s">
        <v>1074</v>
      </c>
      <c r="FX166" s="1169" t="s">
        <v>1075</v>
      </c>
      <c r="FY166" s="1169" t="s">
        <v>1076</v>
      </c>
      <c r="FZ166" s="1169" t="s">
        <v>1077</v>
      </c>
      <c r="GA166" s="1169" t="s">
        <v>1078</v>
      </c>
      <c r="GB166" s="1169" t="s">
        <v>1079</v>
      </c>
      <c r="GC166" s="1169" t="s">
        <v>1080</v>
      </c>
      <c r="GD166" s="1169" t="s">
        <v>1081</v>
      </c>
      <c r="GE166" s="1169" t="s">
        <v>1082</v>
      </c>
      <c r="GF166" s="1169" t="s">
        <v>1083</v>
      </c>
      <c r="GG166" s="1169" t="s">
        <v>1084</v>
      </c>
      <c r="GH166" s="1169" t="s">
        <v>1085</v>
      </c>
      <c r="GI166" s="1169" t="s">
        <v>1086</v>
      </c>
      <c r="GJ166" s="1169" t="s">
        <v>1087</v>
      </c>
    </row>
    <row r="167" spans="3:192" ht="19.5" customHeight="1">
      <c r="C167" s="1170" t="s">
        <v>1088</v>
      </c>
      <c r="D167" s="1171" t="s">
        <v>1089</v>
      </c>
      <c r="E167" s="1171" t="s">
        <v>1089</v>
      </c>
      <c r="F167" s="1171" t="s">
        <v>1089</v>
      </c>
      <c r="G167" s="1171" t="s">
        <v>1089</v>
      </c>
      <c r="H167" s="1171" t="s">
        <v>1089</v>
      </c>
      <c r="I167" s="1171" t="s">
        <v>1089</v>
      </c>
      <c r="J167" s="1171" t="s">
        <v>1089</v>
      </c>
      <c r="K167" s="1171" t="s">
        <v>1089</v>
      </c>
      <c r="L167" s="1171" t="s">
        <v>1089</v>
      </c>
      <c r="M167" s="1171" t="s">
        <v>1089</v>
      </c>
      <c r="N167" s="1171" t="s">
        <v>1089</v>
      </c>
      <c r="O167" s="1171" t="s">
        <v>1089</v>
      </c>
      <c r="P167" s="1171" t="s">
        <v>1089</v>
      </c>
      <c r="Q167" s="1171" t="s">
        <v>1089</v>
      </c>
      <c r="R167" s="1171" t="s">
        <v>1089</v>
      </c>
      <c r="S167" s="1171" t="s">
        <v>1089</v>
      </c>
      <c r="T167" s="1171" t="s">
        <v>1089</v>
      </c>
      <c r="U167" s="1171" t="s">
        <v>1089</v>
      </c>
      <c r="V167" s="1171" t="s">
        <v>1089</v>
      </c>
      <c r="W167" s="1171" t="s">
        <v>1089</v>
      </c>
      <c r="X167" s="1171" t="s">
        <v>1089</v>
      </c>
      <c r="Y167" s="1171" t="s">
        <v>1089</v>
      </c>
      <c r="Z167" s="1171" t="s">
        <v>1089</v>
      </c>
      <c r="AA167" s="1171" t="s">
        <v>1089</v>
      </c>
      <c r="AB167" s="1171" t="s">
        <v>1089</v>
      </c>
      <c r="AC167" s="1171" t="s">
        <v>1089</v>
      </c>
      <c r="AD167" s="1171" t="s">
        <v>1089</v>
      </c>
      <c r="AE167" s="1171" t="s">
        <v>1089</v>
      </c>
      <c r="AF167" s="1171" t="s">
        <v>1089</v>
      </c>
      <c r="AG167" s="1171" t="s">
        <v>1089</v>
      </c>
      <c r="AH167" s="1171" t="s">
        <v>1089</v>
      </c>
      <c r="AI167" s="1171" t="s">
        <v>1089</v>
      </c>
      <c r="AJ167" s="1171" t="s">
        <v>1089</v>
      </c>
      <c r="AK167" s="1171" t="s">
        <v>1089</v>
      </c>
      <c r="AL167" s="1171" t="s">
        <v>1089</v>
      </c>
      <c r="AM167" s="1171" t="s">
        <v>1089</v>
      </c>
      <c r="AN167" s="1171" t="s">
        <v>1089</v>
      </c>
      <c r="AO167" s="1171" t="s">
        <v>1089</v>
      </c>
      <c r="AP167" s="1171" t="s">
        <v>1089</v>
      </c>
      <c r="AQ167" s="1171" t="s">
        <v>1089</v>
      </c>
      <c r="AR167" s="1171" t="s">
        <v>1089</v>
      </c>
      <c r="AS167" s="1171" t="s">
        <v>1089</v>
      </c>
      <c r="AT167" s="1171" t="s">
        <v>1089</v>
      </c>
      <c r="AU167" s="1171" t="s">
        <v>1089</v>
      </c>
      <c r="AV167" s="1171" t="s">
        <v>1089</v>
      </c>
      <c r="AW167" s="1171" t="s">
        <v>1089</v>
      </c>
      <c r="AX167" s="1171" t="s">
        <v>1089</v>
      </c>
      <c r="AY167" s="1171" t="s">
        <v>1089</v>
      </c>
      <c r="AZ167" s="1171" t="s">
        <v>1089</v>
      </c>
      <c r="BA167" s="1171" t="s">
        <v>1089</v>
      </c>
      <c r="BB167" s="1171" t="s">
        <v>1089</v>
      </c>
      <c r="BC167" s="1171" t="s">
        <v>1089</v>
      </c>
      <c r="BD167" s="1171" t="s">
        <v>1089</v>
      </c>
      <c r="BE167" s="1171" t="s">
        <v>1089</v>
      </c>
      <c r="BF167" s="1171" t="s">
        <v>1089</v>
      </c>
      <c r="BG167" s="1171" t="s">
        <v>1089</v>
      </c>
      <c r="BH167" s="1171" t="s">
        <v>1089</v>
      </c>
      <c r="BI167" s="1172">
        <v>107.1</v>
      </c>
      <c r="BJ167" s="1172">
        <v>105.5</v>
      </c>
      <c r="BK167" s="1172">
        <v>103.2</v>
      </c>
      <c r="BL167" s="1172">
        <v>100.6</v>
      </c>
      <c r="BM167" s="1172">
        <v>100.8</v>
      </c>
      <c r="BN167" s="1172">
        <v>101.6</v>
      </c>
      <c r="BO167" s="1172">
        <v>101.5</v>
      </c>
      <c r="BP167" s="1172">
        <v>102.3</v>
      </c>
      <c r="BQ167" s="1172">
        <v>102.7</v>
      </c>
      <c r="BR167" s="1172">
        <v>102.1</v>
      </c>
      <c r="BS167" s="1172">
        <v>101</v>
      </c>
      <c r="BT167" s="1173">
        <v>99.4</v>
      </c>
      <c r="BU167" s="1173">
        <v>99</v>
      </c>
      <c r="BV167" s="1173">
        <v>98.8</v>
      </c>
      <c r="BW167" s="1173">
        <v>97.9</v>
      </c>
      <c r="BX167" s="1173">
        <v>96.7</v>
      </c>
      <c r="BY167" s="1173">
        <v>96.4</v>
      </c>
      <c r="BZ167" s="1173">
        <v>96.5</v>
      </c>
      <c r="CA167" s="1173">
        <v>96.9</v>
      </c>
      <c r="CB167" s="1173">
        <v>97.7</v>
      </c>
      <c r="CC167" s="1173">
        <v>99</v>
      </c>
      <c r="CD167" s="1173">
        <v>99.5</v>
      </c>
      <c r="CE167" s="1173">
        <v>99.3</v>
      </c>
      <c r="CF167" s="1173">
        <v>99.6</v>
      </c>
      <c r="CG167" s="1172">
        <v>100.3</v>
      </c>
      <c r="CH167" s="1172">
        <v>100.8</v>
      </c>
      <c r="CI167" s="1172">
        <v>101.5</v>
      </c>
      <c r="CJ167" s="1172">
        <v>103.2</v>
      </c>
      <c r="CK167" s="1172">
        <v>103.2</v>
      </c>
      <c r="CL167" s="1172">
        <v>102.9</v>
      </c>
      <c r="CM167" s="1172">
        <v>102.4</v>
      </c>
      <c r="CN167" s="1172">
        <v>102.6</v>
      </c>
      <c r="CO167" s="1172">
        <v>102</v>
      </c>
      <c r="CP167" s="1172">
        <v>102.1</v>
      </c>
      <c r="CQ167" s="1172">
        <v>102.4</v>
      </c>
      <c r="CR167" s="1172">
        <v>102.6</v>
      </c>
      <c r="CS167" s="1172">
        <v>103</v>
      </c>
      <c r="CT167" s="1172">
        <v>103.5</v>
      </c>
      <c r="CU167" s="1172">
        <v>104.1</v>
      </c>
      <c r="CV167" s="1172">
        <v>105.1</v>
      </c>
      <c r="CW167" s="1172">
        <v>105.2</v>
      </c>
      <c r="CX167" s="1172">
        <v>105.4</v>
      </c>
      <c r="CY167" s="1172">
        <v>105.9</v>
      </c>
      <c r="CZ167" s="1172">
        <v>107</v>
      </c>
      <c r="DA167" s="1172">
        <v>108.5</v>
      </c>
      <c r="DB167" s="1172">
        <v>108.8</v>
      </c>
      <c r="DC167" s="1172">
        <v>109.3</v>
      </c>
      <c r="DD167" s="1172">
        <v>109.4</v>
      </c>
      <c r="DE167" s="1172">
        <v>110.2</v>
      </c>
      <c r="DF167" s="1172">
        <v>110.7</v>
      </c>
      <c r="DG167" s="1172">
        <v>108.9</v>
      </c>
      <c r="DH167" s="1172">
        <v>107.9</v>
      </c>
      <c r="DI167" s="1172">
        <v>108.8</v>
      </c>
      <c r="DJ167" s="1172">
        <v>110.3</v>
      </c>
      <c r="DK167" s="1172">
        <v>110.8</v>
      </c>
      <c r="DL167" s="1172">
        <v>111.1</v>
      </c>
      <c r="DM167" s="1172">
        <v>110.6</v>
      </c>
      <c r="DN167" s="1172">
        <v>110.4</v>
      </c>
      <c r="DO167" s="1172">
        <v>110.4</v>
      </c>
      <c r="DP167" s="1172">
        <v>109.5</v>
      </c>
      <c r="DQ167" s="1172">
        <v>109.9</v>
      </c>
      <c r="DR167" s="1172">
        <v>108.6</v>
      </c>
      <c r="DS167" s="1172">
        <v>108.4</v>
      </c>
      <c r="DT167" s="1172">
        <v>110.1</v>
      </c>
      <c r="DU167" s="1172">
        <v>110.7</v>
      </c>
      <c r="DV167" s="1172">
        <v>109.3</v>
      </c>
      <c r="DW167" s="1172">
        <v>106</v>
      </c>
      <c r="DX167" s="1172">
        <v>105.8</v>
      </c>
      <c r="DY167" s="1172">
        <v>106.3</v>
      </c>
      <c r="DZ167" s="1172">
        <v>108.4</v>
      </c>
      <c r="EA167" s="1172">
        <v>108.3</v>
      </c>
      <c r="EB167" s="1172">
        <v>108.2</v>
      </c>
      <c r="EC167" s="1172">
        <v>107.2</v>
      </c>
      <c r="ED167" s="1172">
        <v>106.9</v>
      </c>
      <c r="EE167" s="1172">
        <v>107.4</v>
      </c>
      <c r="EF167" s="1172">
        <v>109</v>
      </c>
      <c r="EG167" s="1172">
        <v>110.2</v>
      </c>
      <c r="EH167" s="1172">
        <v>111.8</v>
      </c>
      <c r="EI167" s="1172">
        <v>112</v>
      </c>
      <c r="EJ167" s="1172">
        <v>111.9</v>
      </c>
      <c r="EK167" s="1172">
        <v>112.6</v>
      </c>
      <c r="EL167" s="1172">
        <v>113.9</v>
      </c>
      <c r="EM167" s="1172">
        <v>114.1</v>
      </c>
      <c r="EN167" s="1172">
        <v>114.2</v>
      </c>
      <c r="EO167" s="1172">
        <v>115.8</v>
      </c>
      <c r="EP167" s="1172">
        <v>118</v>
      </c>
      <c r="EQ167" s="1172">
        <v>117</v>
      </c>
      <c r="ER167" s="1172">
        <v>118.5</v>
      </c>
      <c r="ES167" s="1172">
        <v>120.7</v>
      </c>
      <c r="ET167" s="1172">
        <v>125.6</v>
      </c>
      <c r="EU167" s="1172">
        <v>128.19999999999999</v>
      </c>
      <c r="EV167" s="1172">
        <v>128.1</v>
      </c>
      <c r="EW167" s="1172">
        <v>130.69999999999999</v>
      </c>
      <c r="EX167" s="1172">
        <v>130.5</v>
      </c>
      <c r="EY167" s="1172">
        <v>130</v>
      </c>
      <c r="EZ167" s="1172">
        <v>130.19999999999999</v>
      </c>
      <c r="FA167" s="1172">
        <v>128.1</v>
      </c>
      <c r="FB167" s="1172">
        <v>127</v>
      </c>
      <c r="FC167" s="1172">
        <v>125.9</v>
      </c>
      <c r="FD167" s="1172">
        <v>127.2</v>
      </c>
      <c r="FE167" s="1172">
        <v>126.8</v>
      </c>
      <c r="FF167" s="1172">
        <v>127.9</v>
      </c>
      <c r="FG167" s="1172">
        <v>128.19999999999999</v>
      </c>
      <c r="FH167" s="1172">
        <v>128</v>
      </c>
      <c r="FI167" s="1172">
        <v>126.5</v>
      </c>
      <c r="FJ167" s="1172">
        <v>127.7</v>
      </c>
      <c r="FK167" s="1172">
        <v>128.19999999999999</v>
      </c>
      <c r="FL167" s="1172">
        <v>130.69999999999999</v>
      </c>
      <c r="FM167" s="1172">
        <v>131.19999999999999</v>
      </c>
      <c r="FN167" s="1172">
        <v>130.19999999999999</v>
      </c>
      <c r="FO167" s="1172">
        <v>128.69999999999999</v>
      </c>
      <c r="FP167" s="1172">
        <v>128.6</v>
      </c>
      <c r="FQ167" s="1172">
        <v>128.6</v>
      </c>
      <c r="FR167" s="1172">
        <v>129.30000000000001</v>
      </c>
      <c r="FS167" s="1172">
        <v>129.69999999999999</v>
      </c>
      <c r="FT167" s="1172">
        <v>129.6</v>
      </c>
      <c r="FU167" s="1172">
        <v>129</v>
      </c>
      <c r="FV167" s="1172">
        <v>129.6</v>
      </c>
      <c r="FW167" s="1172">
        <v>130</v>
      </c>
      <c r="FX167" s="1172">
        <v>127.7</v>
      </c>
      <c r="FY167" s="1172">
        <v>127.1</v>
      </c>
      <c r="FZ167" s="1172">
        <v>129.80000000000001</v>
      </c>
      <c r="GA167" s="1172">
        <v>130.4</v>
      </c>
      <c r="GB167" s="1172">
        <v>131.6</v>
      </c>
      <c r="GC167" s="1172">
        <v>132.19999999999999</v>
      </c>
      <c r="GD167" s="1172">
        <v>131.4</v>
      </c>
      <c r="GE167" s="1172">
        <v>130.5</v>
      </c>
      <c r="GF167" s="1172">
        <v>128.80000000000001</v>
      </c>
      <c r="GG167" s="1172">
        <v>128.4</v>
      </c>
      <c r="GH167" s="1172">
        <v>129.4</v>
      </c>
      <c r="GI167" s="1172">
        <v>129.30000000000001</v>
      </c>
      <c r="GJ167" s="1172">
        <v>128.19999999999999</v>
      </c>
    </row>
    <row r="168" spans="3:192" ht="19.5" customHeight="1">
      <c r="C168" s="801"/>
      <c r="D168" s="1175" t="e">
        <f>AVERAGE(D167:O167)</f>
        <v>#DIV/0!</v>
      </c>
      <c r="E168" s="801"/>
      <c r="F168" s="801"/>
      <c r="G168" s="801"/>
      <c r="H168" s="801"/>
      <c r="I168" s="801"/>
      <c r="J168" s="801"/>
      <c r="K168" s="801"/>
      <c r="L168" s="801"/>
      <c r="M168" s="801"/>
      <c r="N168" s="801"/>
      <c r="O168" s="801"/>
      <c r="P168" s="1175" t="e">
        <f>AVERAGE(P167:AA167)</f>
        <v>#DIV/0!</v>
      </c>
      <c r="Q168" s="801"/>
      <c r="R168" s="801"/>
      <c r="S168" s="801"/>
      <c r="T168" s="801"/>
      <c r="U168" s="801"/>
      <c r="V168" s="801"/>
      <c r="W168" s="801"/>
      <c r="X168" s="801"/>
      <c r="AB168" s="1175" t="e">
        <f>AVERAGE(AB167:AM167)</f>
        <v>#DIV/0!</v>
      </c>
      <c r="AN168" s="1175" t="e">
        <f>AVERAGE(AN167:AY167)</f>
        <v>#DIV/0!</v>
      </c>
      <c r="AZ168" s="1175">
        <f>AVERAGE(AZ167:BK167)</f>
        <v>105.26666666666667</v>
      </c>
      <c r="BL168" s="1175">
        <f>AVERAGE(BL167:BW167)</f>
        <v>100.64166666666667</v>
      </c>
      <c r="BX168" s="1175">
        <f>AVERAGE(BX167:CI167)</f>
        <v>98.683333333333337</v>
      </c>
      <c r="CJ168" s="1175">
        <f>AVERAGE(CJ167:CU167)</f>
        <v>102.83333333333333</v>
      </c>
      <c r="CV168" s="1175">
        <f>AVERAGE(CV167:DG167)</f>
        <v>107.86666666666667</v>
      </c>
      <c r="DH168" s="1175">
        <f>AVERAGE(DH167:DS167)</f>
        <v>109.72500000000001</v>
      </c>
      <c r="DT168" s="1174">
        <f>AVERAGE(DT167:EE167)</f>
        <v>107.88333333333334</v>
      </c>
      <c r="EF168" s="1174">
        <f>AVERAGE(EF167:EQ167)</f>
        <v>113.375</v>
      </c>
      <c r="ER168" s="1174">
        <f>AVERAGE(ER167:FC167)</f>
        <v>126.95833333333333</v>
      </c>
      <c r="FP168" s="1174">
        <f>AVERAGE(FP167:GA167)</f>
        <v>129.11666666666667</v>
      </c>
      <c r="GB168" s="1176">
        <f>AVERAGE(GB167:GJ167)</f>
        <v>129.97777777777776</v>
      </c>
    </row>
    <row r="169" spans="3:192" ht="19.5" customHeight="1">
      <c r="C169" s="801"/>
      <c r="D169" s="801"/>
      <c r="E169" s="801"/>
      <c r="F169" s="801"/>
      <c r="G169" s="801"/>
      <c r="H169" s="801"/>
      <c r="I169" s="801"/>
      <c r="J169" s="801"/>
      <c r="K169" s="801"/>
      <c r="L169" s="801"/>
      <c r="M169" s="801"/>
      <c r="N169" s="801"/>
      <c r="O169" s="801"/>
      <c r="P169" s="801"/>
      <c r="Q169" s="801"/>
      <c r="R169" s="801"/>
      <c r="S169" s="801"/>
      <c r="T169" s="801"/>
      <c r="U169" s="801"/>
      <c r="V169" s="801"/>
      <c r="W169" s="801"/>
      <c r="X169" s="801"/>
    </row>
    <row r="170" spans="3:192" ht="19.5" customHeight="1">
      <c r="C170" s="343"/>
      <c r="D170" s="343"/>
      <c r="E170" s="343"/>
      <c r="F170" s="343"/>
      <c r="G170" s="342">
        <v>2010</v>
      </c>
      <c r="H170" s="342">
        <v>2011</v>
      </c>
      <c r="I170" s="342">
        <v>2012</v>
      </c>
      <c r="J170" s="342">
        <v>2013</v>
      </c>
      <c r="K170" s="342">
        <v>2014</v>
      </c>
      <c r="L170" s="342">
        <v>2015</v>
      </c>
      <c r="M170" s="342">
        <v>2016</v>
      </c>
      <c r="N170" s="342">
        <v>2017</v>
      </c>
      <c r="O170" s="342">
        <v>2018</v>
      </c>
      <c r="P170" s="342">
        <v>2019</v>
      </c>
      <c r="Q170" s="342">
        <v>2020</v>
      </c>
      <c r="R170" s="342">
        <v>2021</v>
      </c>
      <c r="S170" s="342">
        <v>2022</v>
      </c>
      <c r="T170" s="342">
        <v>2023</v>
      </c>
      <c r="U170" s="342">
        <v>2024</v>
      </c>
      <c r="V170" s="342">
        <v>2025</v>
      </c>
      <c r="W170" s="801"/>
      <c r="X170" s="801"/>
    </row>
    <row r="171" spans="3:192" ht="19.5" customHeight="1">
      <c r="C171"/>
      <c r="D171"/>
      <c r="E171"/>
      <c r="F171"/>
      <c r="G171" s="191">
        <v>100</v>
      </c>
      <c r="H171" s="1177">
        <f>G171-($G$171-$K$171)/($K$170-$G$170)</f>
        <v>101.31666675</v>
      </c>
      <c r="I171" s="1177">
        <f>H171-($G$171-$K$171)/($K$170-$G$170)</f>
        <v>102.63333349999999</v>
      </c>
      <c r="J171" s="1178">
        <f>I171-($G$171-$K$171)/($K$170-$G$170)</f>
        <v>103.95000024999999</v>
      </c>
      <c r="K171" s="191">
        <v>105.266667</v>
      </c>
      <c r="L171" s="191">
        <v>100.641667</v>
      </c>
      <c r="M171" s="191">
        <v>98.683333000000005</v>
      </c>
      <c r="N171" s="191">
        <v>102.833333</v>
      </c>
      <c r="O171" s="191">
        <v>107.86666700000001</v>
      </c>
      <c r="P171" s="191">
        <v>109.72499999999999</v>
      </c>
      <c r="Q171" s="191">
        <v>107.88333299999999</v>
      </c>
      <c r="R171" s="191">
        <v>113.375</v>
      </c>
      <c r="S171" s="191">
        <v>126.958333</v>
      </c>
      <c r="T171" s="191">
        <v>128.441667</v>
      </c>
      <c r="U171" s="191">
        <v>129.11666700000001</v>
      </c>
      <c r="V171" s="191">
        <v>129.977778</v>
      </c>
      <c r="W171" s="801"/>
      <c r="X171" s="801"/>
    </row>
    <row r="172" spans="3:192" ht="19.5" customHeight="1">
      <c r="C172" s="801"/>
      <c r="D172" s="801"/>
      <c r="E172" s="801"/>
      <c r="F172" s="801"/>
      <c r="G172" s="801"/>
      <c r="H172" s="801"/>
      <c r="I172" s="801"/>
      <c r="J172" s="801"/>
      <c r="K172" s="801"/>
      <c r="L172" s="801"/>
      <c r="M172" s="801"/>
      <c r="N172" s="801"/>
      <c r="O172" s="801"/>
      <c r="P172" s="801"/>
      <c r="Q172" s="801"/>
      <c r="R172" s="801"/>
      <c r="S172" s="801"/>
      <c r="T172" s="801"/>
      <c r="U172" s="801"/>
      <c r="V172" s="801"/>
      <c r="W172" s="801"/>
      <c r="X172" s="801"/>
    </row>
    <row r="173" spans="3:192" ht="19.5" customHeight="1">
      <c r="C173" s="801" t="s">
        <v>1090</v>
      </c>
      <c r="D173" s="801"/>
      <c r="E173" s="801"/>
      <c r="F173" s="801"/>
      <c r="G173" s="801"/>
      <c r="H173" s="801"/>
      <c r="I173" s="801"/>
      <c r="J173" s="801"/>
      <c r="K173" s="801"/>
      <c r="L173" s="801"/>
      <c r="M173" s="801"/>
      <c r="N173" s="801"/>
      <c r="O173" s="801"/>
      <c r="P173" s="801"/>
      <c r="Q173" s="801"/>
      <c r="R173" s="801"/>
      <c r="S173" s="801"/>
      <c r="T173" s="801"/>
      <c r="U173" s="801"/>
      <c r="V173" s="801"/>
      <c r="W173" s="801"/>
      <c r="X173" s="801"/>
    </row>
    <row r="174" spans="3:192" ht="19.5" customHeight="1"/>
    <row r="175" spans="3:192" ht="19.5" customHeight="1">
      <c r="C175" s="445" t="s">
        <v>1145</v>
      </c>
    </row>
    <row r="176" spans="3:192" ht="19.5" customHeight="1">
      <c r="G176" s="714">
        <v>2010</v>
      </c>
      <c r="H176" s="155">
        <v>2011</v>
      </c>
      <c r="I176" s="155">
        <v>2012</v>
      </c>
      <c r="J176" s="155">
        <v>2013</v>
      </c>
      <c r="K176" s="155">
        <v>2014</v>
      </c>
      <c r="L176" s="155">
        <v>2015</v>
      </c>
      <c r="M176" s="155">
        <v>2016</v>
      </c>
      <c r="N176" s="12">
        <v>2017</v>
      </c>
      <c r="O176" s="12">
        <v>2018</v>
      </c>
      <c r="P176" s="12">
        <v>2019</v>
      </c>
      <c r="Q176" s="12">
        <v>2020</v>
      </c>
      <c r="R176" s="12">
        <v>2021</v>
      </c>
      <c r="S176" s="12">
        <v>2022</v>
      </c>
      <c r="T176" s="12">
        <v>2023</v>
      </c>
      <c r="U176" s="13">
        <v>2024</v>
      </c>
    </row>
    <row r="177" spans="1:47" ht="19.5" customHeight="1">
      <c r="C177" s="765" t="s">
        <v>1146</v>
      </c>
      <c r="D177" s="762"/>
      <c r="E177" s="762"/>
      <c r="F177" s="762" t="s">
        <v>330</v>
      </c>
      <c r="G177" s="765">
        <f>L177/(L171/100)</f>
        <v>707957.27181267785</v>
      </c>
      <c r="H177" s="762">
        <f>$G$177*(H171/100)</f>
        <v>717278.70981484244</v>
      </c>
      <c r="I177" s="762">
        <f>$G$177*(I171/100)</f>
        <v>726600.14781700703</v>
      </c>
      <c r="J177" s="762">
        <f>$G$177*(J171/100)</f>
        <v>735921.58581917174</v>
      </c>
      <c r="K177" s="762">
        <f>$G$177*(K171/100)</f>
        <v>745243.02382133645</v>
      </c>
      <c r="L177" s="762">
        <f>H162</f>
        <v>712500</v>
      </c>
      <c r="M177" s="762">
        <f>$G$177*(M171/100)</f>
        <v>698635.83204062004</v>
      </c>
      <c r="N177" s="762">
        <f t="shared" ref="N177:U177" si="12">$G$177*(N171/100)</f>
        <v>728016.05882084614</v>
      </c>
      <c r="O177" s="762">
        <f t="shared" si="12"/>
        <v>763649.91288846615</v>
      </c>
      <c r="P177" s="762">
        <f t="shared" si="12"/>
        <v>776806.11649646063</v>
      </c>
      <c r="Q177" s="762">
        <f t="shared" si="12"/>
        <v>763767.90104738635</v>
      </c>
      <c r="R177" s="762">
        <f t="shared" si="12"/>
        <v>802646.5569176235</v>
      </c>
      <c r="S177" s="762">
        <f t="shared" si="12"/>
        <v>898810.75064565463</v>
      </c>
      <c r="T177" s="762">
        <f t="shared" si="12"/>
        <v>909312.12156392448</v>
      </c>
      <c r="U177" s="790">
        <f t="shared" si="12"/>
        <v>914090.83314866014</v>
      </c>
    </row>
    <row r="178" spans="1:47" ht="19.5" customHeight="1"/>
    <row r="179" spans="1:47" ht="19.5" customHeight="1">
      <c r="C179" s="445" t="s">
        <v>1147</v>
      </c>
      <c r="G179" s="80"/>
      <c r="H179" s="154">
        <v>2011</v>
      </c>
      <c r="I179" s="155">
        <v>2012</v>
      </c>
      <c r="J179" s="155">
        <v>2013</v>
      </c>
      <c r="K179" s="155">
        <v>2014</v>
      </c>
      <c r="L179" s="155">
        <v>2015</v>
      </c>
      <c r="M179" s="155">
        <v>2016</v>
      </c>
      <c r="N179" s="12">
        <v>2017</v>
      </c>
      <c r="O179" s="12">
        <v>2018</v>
      </c>
      <c r="P179" s="12">
        <v>2019</v>
      </c>
      <c r="Q179" s="12">
        <v>2020</v>
      </c>
      <c r="R179" s="12">
        <v>2021</v>
      </c>
      <c r="S179" s="12">
        <v>2022</v>
      </c>
      <c r="T179" s="12">
        <v>2023</v>
      </c>
      <c r="U179" s="13">
        <v>2024</v>
      </c>
    </row>
    <row r="180" spans="1:47" ht="19.5" customHeight="1">
      <c r="A180" s="854" t="s">
        <v>309</v>
      </c>
      <c r="C180" s="765" t="s">
        <v>1148</v>
      </c>
      <c r="D180" s="762"/>
      <c r="E180" s="762"/>
      <c r="F180" s="762" t="s">
        <v>737</v>
      </c>
      <c r="G180" s="790"/>
      <c r="H180" s="765">
        <f>H177*H148/10^6</f>
        <v>2921.5760903009777</v>
      </c>
      <c r="I180" s="762">
        <f t="shared" ref="I180:U180" si="13">I177*I148/10^6</f>
        <v>2943.2767061248092</v>
      </c>
      <c r="J180" s="762">
        <f t="shared" si="13"/>
        <v>2791.7987173927809</v>
      </c>
      <c r="K180" s="762">
        <f t="shared" si="13"/>
        <v>2270.020445784593</v>
      </c>
      <c r="L180" s="762">
        <f t="shared" si="13"/>
        <v>1869.6819755915747</v>
      </c>
      <c r="M180" s="762">
        <f t="shared" si="13"/>
        <v>1946.3078084767933</v>
      </c>
      <c r="N180" s="762">
        <f t="shared" si="13"/>
        <v>1961.2779303223633</v>
      </c>
      <c r="O180" s="762">
        <f t="shared" si="13"/>
        <v>2131.7391369861102</v>
      </c>
      <c r="P180" s="762">
        <f t="shared" si="13"/>
        <v>1790.0841589467275</v>
      </c>
      <c r="Q180" s="762">
        <f t="shared" si="13"/>
        <v>2030.5112184126278</v>
      </c>
      <c r="R180" s="762">
        <f t="shared" si="13"/>
        <v>1762.6335539062406</v>
      </c>
      <c r="S180" s="762">
        <f t="shared" si="13"/>
        <v>1842.1336451530829</v>
      </c>
      <c r="T180" s="762">
        <f t="shared" si="13"/>
        <v>1439.8980971236003</v>
      </c>
      <c r="U180" s="790">
        <f t="shared" si="13"/>
        <v>1412.3268368525873</v>
      </c>
    </row>
    <row r="181" spans="1:47" ht="19.5" customHeight="1"/>
    <row r="182" spans="1:47" ht="19.5" customHeight="1"/>
    <row r="183" spans="1:47" ht="19.5" customHeight="1"/>
    <row r="184" spans="1:47" s="8" customFormat="1" ht="16.5" customHeight="1">
      <c r="C184" s="9" t="s">
        <v>319</v>
      </c>
      <c r="P184" s="10"/>
    </row>
    <row r="186" spans="1:47">
      <c r="C186" s="445" t="s">
        <v>772</v>
      </c>
    </row>
    <row r="187" spans="1:47">
      <c r="C187" s="445" t="s">
        <v>773</v>
      </c>
    </row>
    <row r="189" spans="1:47">
      <c r="C189" s="778" t="s">
        <v>774</v>
      </c>
      <c r="L189" s="780" t="s">
        <v>323</v>
      </c>
    </row>
    <row r="190" spans="1:47">
      <c r="C190" s="718"/>
      <c r="D190" s="719"/>
      <c r="E190" s="782" t="s">
        <v>503</v>
      </c>
      <c r="F190" s="783" t="s">
        <v>282</v>
      </c>
      <c r="L190" s="781">
        <v>2015</v>
      </c>
      <c r="M190" s="782">
        <v>2016</v>
      </c>
      <c r="N190" s="782">
        <v>2017</v>
      </c>
      <c r="O190" s="782">
        <v>2018</v>
      </c>
      <c r="P190" s="782">
        <v>2019</v>
      </c>
      <c r="Q190" s="782">
        <v>2020</v>
      </c>
      <c r="R190" s="782">
        <v>2021</v>
      </c>
      <c r="S190" s="782">
        <v>2022</v>
      </c>
      <c r="T190" s="782">
        <v>2023</v>
      </c>
      <c r="U190" s="782">
        <v>2024</v>
      </c>
      <c r="V190" s="782">
        <v>2025</v>
      </c>
      <c r="W190" s="782">
        <v>2026</v>
      </c>
      <c r="X190" s="782">
        <v>2027</v>
      </c>
      <c r="Y190" s="782">
        <v>2028</v>
      </c>
      <c r="Z190" s="782">
        <v>2029</v>
      </c>
      <c r="AA190" s="782">
        <v>2030</v>
      </c>
      <c r="AB190" s="782">
        <v>2031</v>
      </c>
      <c r="AC190" s="782">
        <v>2032</v>
      </c>
      <c r="AD190" s="782">
        <v>2033</v>
      </c>
      <c r="AE190" s="782">
        <v>2034</v>
      </c>
      <c r="AF190" s="782">
        <v>2035</v>
      </c>
      <c r="AG190" s="782">
        <v>2036</v>
      </c>
      <c r="AH190" s="782">
        <v>2037</v>
      </c>
      <c r="AI190" s="782">
        <v>2038</v>
      </c>
      <c r="AJ190" s="782">
        <v>2039</v>
      </c>
      <c r="AK190" s="782">
        <v>2040</v>
      </c>
      <c r="AL190" s="782">
        <v>2041</v>
      </c>
      <c r="AM190" s="782">
        <v>2042</v>
      </c>
      <c r="AN190" s="782">
        <v>2043</v>
      </c>
      <c r="AO190" s="782">
        <v>2044</v>
      </c>
      <c r="AP190" s="782">
        <v>2045</v>
      </c>
      <c r="AQ190" s="782">
        <v>2046</v>
      </c>
      <c r="AR190" s="782">
        <v>2047</v>
      </c>
      <c r="AS190" s="782">
        <v>2048</v>
      </c>
      <c r="AT190" s="782">
        <v>2049</v>
      </c>
      <c r="AU190" s="783">
        <v>2050</v>
      </c>
    </row>
    <row r="191" spans="1:47">
      <c r="C191" s="718" t="s">
        <v>775</v>
      </c>
      <c r="D191" s="719"/>
      <c r="E191" s="782" t="s">
        <v>776</v>
      </c>
      <c r="F191" s="783" t="s">
        <v>287</v>
      </c>
      <c r="L191" s="809">
        <v>7000</v>
      </c>
      <c r="M191" s="799">
        <v>6700</v>
      </c>
      <c r="N191" s="799">
        <v>6400</v>
      </c>
      <c r="O191" s="799">
        <v>6100</v>
      </c>
      <c r="P191" s="799">
        <v>5800</v>
      </c>
      <c r="Q191" s="799">
        <v>5500</v>
      </c>
      <c r="R191" s="799">
        <v>5200</v>
      </c>
      <c r="S191" s="799">
        <v>4900</v>
      </c>
      <c r="T191" s="799">
        <v>4600</v>
      </c>
      <c r="U191" s="785">
        <v>4300</v>
      </c>
      <c r="V191" s="785">
        <v>4000</v>
      </c>
      <c r="W191" s="785">
        <v>3700</v>
      </c>
      <c r="X191" s="785">
        <v>3400</v>
      </c>
      <c r="Y191" s="785">
        <v>3100</v>
      </c>
      <c r="Z191" s="785">
        <v>2800</v>
      </c>
      <c r="AA191" s="785">
        <v>2500</v>
      </c>
      <c r="AB191" s="785">
        <v>2400</v>
      </c>
      <c r="AC191" s="785">
        <v>2300</v>
      </c>
      <c r="AD191" s="785">
        <v>2200</v>
      </c>
      <c r="AE191" s="785">
        <v>2100</v>
      </c>
      <c r="AF191" s="785">
        <v>2000</v>
      </c>
      <c r="AG191" s="785">
        <v>1900</v>
      </c>
      <c r="AH191" s="785">
        <v>1800</v>
      </c>
      <c r="AI191" s="785">
        <v>1700</v>
      </c>
      <c r="AJ191" s="785">
        <v>1600</v>
      </c>
      <c r="AK191" s="785">
        <v>1500</v>
      </c>
      <c r="AL191" s="785">
        <v>1400</v>
      </c>
      <c r="AM191" s="785">
        <v>1300</v>
      </c>
      <c r="AN191" s="785">
        <v>1200</v>
      </c>
      <c r="AO191" s="785">
        <v>1100</v>
      </c>
      <c r="AP191" s="785">
        <v>1000</v>
      </c>
      <c r="AQ191" s="785">
        <v>900</v>
      </c>
      <c r="AR191" s="785">
        <v>800</v>
      </c>
      <c r="AS191" s="785">
        <v>700</v>
      </c>
      <c r="AT191" s="785">
        <v>600</v>
      </c>
      <c r="AU191" s="786">
        <v>500</v>
      </c>
    </row>
    <row r="192" spans="1:47">
      <c r="C192" s="726" t="s">
        <v>777</v>
      </c>
      <c r="D192" s="446"/>
      <c r="E192" s="784" t="s">
        <v>778</v>
      </c>
      <c r="F192" s="787" t="s">
        <v>232</v>
      </c>
      <c r="L192" s="1071">
        <v>1074.5139999999999</v>
      </c>
      <c r="M192" s="807">
        <v>1081.2139999999999</v>
      </c>
      <c r="N192" s="807">
        <v>1087.614</v>
      </c>
      <c r="O192" s="807">
        <v>1093.7139999999999</v>
      </c>
      <c r="P192" s="807">
        <v>1099.5139999999999</v>
      </c>
      <c r="Q192" s="807">
        <v>1105.0139999999999</v>
      </c>
      <c r="R192" s="807">
        <v>1110.2139999999999</v>
      </c>
      <c r="S192" s="807">
        <v>1115.114</v>
      </c>
      <c r="T192" s="807">
        <v>1119.7139999999999</v>
      </c>
      <c r="U192" s="788">
        <v>1124.0139999999999</v>
      </c>
      <c r="V192" s="788">
        <v>1128.0139999999999</v>
      </c>
      <c r="W192" s="788">
        <v>1131.7139999999999</v>
      </c>
      <c r="X192" s="788">
        <v>1135.114</v>
      </c>
      <c r="Y192" s="788">
        <v>1138.2139999999999</v>
      </c>
      <c r="Z192" s="788">
        <v>1141.0139999999999</v>
      </c>
      <c r="AA192" s="788">
        <v>1143.5139999999999</v>
      </c>
      <c r="AB192" s="788">
        <v>1145.914</v>
      </c>
      <c r="AC192" s="788">
        <v>1148.2139999999999</v>
      </c>
      <c r="AD192" s="788">
        <v>1150.414</v>
      </c>
      <c r="AE192" s="788">
        <v>1152.5139999999999</v>
      </c>
      <c r="AF192" s="788">
        <v>1154.5139999999999</v>
      </c>
      <c r="AG192" s="788">
        <v>1156.414</v>
      </c>
      <c r="AH192" s="788">
        <v>1158.2139999999999</v>
      </c>
      <c r="AI192" s="788">
        <v>1159.914</v>
      </c>
      <c r="AJ192" s="788">
        <v>1161.5139999999999</v>
      </c>
      <c r="AK192" s="788">
        <v>1163.0139999999999</v>
      </c>
      <c r="AL192" s="788">
        <v>1164.414</v>
      </c>
      <c r="AM192" s="788">
        <v>1165.7139999999999</v>
      </c>
      <c r="AN192" s="788">
        <v>1166.914</v>
      </c>
      <c r="AO192" s="788">
        <v>1168.0139999999999</v>
      </c>
      <c r="AP192" s="788">
        <v>1169.0139999999999</v>
      </c>
      <c r="AQ192" s="788">
        <v>1169.914</v>
      </c>
      <c r="AR192" s="788">
        <v>1170.7139999999999</v>
      </c>
      <c r="AS192" s="788">
        <v>1171.414</v>
      </c>
      <c r="AT192" s="788">
        <v>1172.0139999999999</v>
      </c>
      <c r="AU192" s="789">
        <v>1172.5139999999999</v>
      </c>
    </row>
    <row r="193" spans="1:47">
      <c r="C193" s="779" t="s">
        <v>856</v>
      </c>
      <c r="D193" s="757"/>
      <c r="E193" s="1070" t="s">
        <v>322</v>
      </c>
      <c r="F193" s="758"/>
      <c r="L193" s="1072"/>
      <c r="M193" s="1073">
        <f>-(1-(M191/L191))</f>
        <v>-4.2857142857142816E-2</v>
      </c>
      <c r="N193" s="1073">
        <f t="shared" ref="N193:AU193" si="14">-(1-(N191/M191))</f>
        <v>-4.4776119402985093E-2</v>
      </c>
      <c r="O193" s="1073">
        <f t="shared" si="14"/>
        <v>-4.6875E-2</v>
      </c>
      <c r="P193" s="1073">
        <f t="shared" si="14"/>
        <v>-4.9180327868852514E-2</v>
      </c>
      <c r="Q193" s="1073">
        <f t="shared" si="14"/>
        <v>-5.1724137931034475E-2</v>
      </c>
      <c r="R193" s="1073">
        <f t="shared" si="14"/>
        <v>-5.4545454545454564E-2</v>
      </c>
      <c r="S193" s="1073">
        <f t="shared" si="14"/>
        <v>-5.7692307692307709E-2</v>
      </c>
      <c r="T193" s="1073">
        <f t="shared" si="14"/>
        <v>-6.1224489795918324E-2</v>
      </c>
      <c r="U193" s="1073">
        <f t="shared" si="14"/>
        <v>-6.5217391304347783E-2</v>
      </c>
      <c r="V193" s="1073">
        <f t="shared" si="14"/>
        <v>-6.9767441860465129E-2</v>
      </c>
      <c r="W193" s="1073">
        <f t="shared" si="14"/>
        <v>-7.4999999999999956E-2</v>
      </c>
      <c r="X193" s="1073">
        <f t="shared" si="14"/>
        <v>-8.108108108108103E-2</v>
      </c>
      <c r="Y193" s="1073">
        <f t="shared" si="14"/>
        <v>-8.8235294117647078E-2</v>
      </c>
      <c r="Z193" s="1073">
        <f t="shared" si="14"/>
        <v>-9.6774193548387122E-2</v>
      </c>
      <c r="AA193" s="1073">
        <f t="shared" si="14"/>
        <v>-0.1071428571428571</v>
      </c>
      <c r="AB193" s="1073">
        <f t="shared" si="14"/>
        <v>-4.0000000000000036E-2</v>
      </c>
      <c r="AC193" s="1073">
        <f t="shared" si="14"/>
        <v>-4.166666666666663E-2</v>
      </c>
      <c r="AD193" s="1073">
        <f t="shared" si="14"/>
        <v>-4.3478260869565188E-2</v>
      </c>
      <c r="AE193" s="1073">
        <f t="shared" si="14"/>
        <v>-4.5454545454545414E-2</v>
      </c>
      <c r="AF193" s="1073">
        <f t="shared" si="14"/>
        <v>-4.7619047619047672E-2</v>
      </c>
      <c r="AG193" s="1073">
        <f t="shared" si="14"/>
        <v>-5.0000000000000044E-2</v>
      </c>
      <c r="AH193" s="1073">
        <f t="shared" si="14"/>
        <v>-5.2631578947368474E-2</v>
      </c>
      <c r="AI193" s="1073">
        <f t="shared" si="14"/>
        <v>-5.555555555555558E-2</v>
      </c>
      <c r="AJ193" s="1073">
        <f t="shared" si="14"/>
        <v>-5.8823529411764719E-2</v>
      </c>
      <c r="AK193" s="1073">
        <f t="shared" si="14"/>
        <v>-6.25E-2</v>
      </c>
      <c r="AL193" s="1073">
        <f t="shared" si="14"/>
        <v>-6.6666666666666652E-2</v>
      </c>
      <c r="AM193" s="1073">
        <f t="shared" si="14"/>
        <v>-7.1428571428571397E-2</v>
      </c>
      <c r="AN193" s="1073">
        <f t="shared" si="14"/>
        <v>-7.6923076923076872E-2</v>
      </c>
      <c r="AO193" s="1073">
        <f t="shared" si="14"/>
        <v>-8.333333333333337E-2</v>
      </c>
      <c r="AP193" s="1073">
        <f t="shared" si="14"/>
        <v>-9.0909090909090939E-2</v>
      </c>
      <c r="AQ193" s="1073">
        <f t="shared" si="14"/>
        <v>-9.9999999999999978E-2</v>
      </c>
      <c r="AR193" s="1073">
        <f t="shared" si="14"/>
        <v>-0.11111111111111116</v>
      </c>
      <c r="AS193" s="1073">
        <f t="shared" si="14"/>
        <v>-0.125</v>
      </c>
      <c r="AT193" s="1073">
        <f t="shared" si="14"/>
        <v>-0.1428571428571429</v>
      </c>
      <c r="AU193" s="1073">
        <f t="shared" si="14"/>
        <v>-0.16666666666666663</v>
      </c>
    </row>
    <row r="195" spans="1:47">
      <c r="C195" s="791" t="s">
        <v>779</v>
      </c>
      <c r="D195" s="791"/>
      <c r="E195" s="791"/>
    </row>
    <row r="196" spans="1:47">
      <c r="C196" s="810" t="s">
        <v>780</v>
      </c>
      <c r="D196" s="811"/>
      <c r="E196" s="811" t="s">
        <v>313</v>
      </c>
      <c r="F196" s="796"/>
      <c r="H196" s="813">
        <f>-(U191-AA191)/U191</f>
        <v>-0.41860465116279072</v>
      </c>
    </row>
    <row r="197" spans="1:47">
      <c r="C197" s="779" t="s">
        <v>781</v>
      </c>
      <c r="D197" s="812"/>
      <c r="E197" s="812" t="s">
        <v>232</v>
      </c>
      <c r="F197" s="758"/>
      <c r="H197" s="814">
        <f>-(V191-AU191)/V191</f>
        <v>-0.875</v>
      </c>
    </row>
    <row r="198" spans="1:47" ht="15.65" customHeight="1">
      <c r="D198" s="791"/>
      <c r="E198" s="791"/>
    </row>
    <row r="199" spans="1:47" ht="15.65" customHeight="1">
      <c r="D199" s="791"/>
      <c r="E199" s="791"/>
    </row>
    <row r="200" spans="1:47">
      <c r="A200" s="801"/>
      <c r="B200" s="801"/>
      <c r="C200" s="800"/>
      <c r="D200" s="801"/>
      <c r="E200" s="801"/>
      <c r="F200" s="801"/>
      <c r="G200" s="801"/>
      <c r="H200" s="801"/>
      <c r="I200" s="801"/>
      <c r="J200" s="801"/>
      <c r="K200" s="801"/>
      <c r="L200" s="801"/>
      <c r="M200" s="801"/>
      <c r="N200" s="801"/>
      <c r="O200" s="801"/>
      <c r="P200" s="801"/>
      <c r="Q200" s="801"/>
      <c r="R200" s="801"/>
      <c r="S200" s="801"/>
      <c r="T200" s="801"/>
      <c r="U200" s="801"/>
      <c r="V200" s="801"/>
      <c r="W200" s="801"/>
      <c r="X200" s="801"/>
    </row>
    <row r="201" spans="1:47">
      <c r="A201" s="801"/>
      <c r="B201" s="801"/>
      <c r="C201" s="1066" t="s">
        <v>1269</v>
      </c>
      <c r="D201" s="801"/>
      <c r="E201" s="801"/>
      <c r="F201" s="801"/>
      <c r="G201" s="801"/>
      <c r="H201" s="801"/>
      <c r="I201" s="801"/>
      <c r="J201" s="801"/>
      <c r="K201" s="801"/>
      <c r="L201" s="801"/>
      <c r="M201" s="801"/>
      <c r="N201" s="801"/>
      <c r="O201" s="801"/>
      <c r="P201" s="801"/>
      <c r="Q201" s="801"/>
      <c r="R201" s="801"/>
      <c r="S201" s="801"/>
      <c r="T201" s="801"/>
      <c r="U201" s="801"/>
      <c r="V201" s="801"/>
      <c r="W201" s="801"/>
      <c r="X201" s="801"/>
    </row>
    <row r="202" spans="1:47">
      <c r="A202" s="801"/>
      <c r="B202" s="801"/>
      <c r="C202" s="801"/>
      <c r="D202" s="801"/>
      <c r="E202" s="801"/>
      <c r="F202" s="801"/>
      <c r="G202" s="801"/>
      <c r="H202" s="801"/>
      <c r="I202" s="801"/>
      <c r="J202" s="801"/>
      <c r="K202" s="801"/>
      <c r="L202" s="801"/>
      <c r="M202" s="801"/>
      <c r="N202" s="801"/>
      <c r="O202" s="801"/>
      <c r="P202" s="801"/>
      <c r="Q202" s="801"/>
      <c r="R202" s="801"/>
      <c r="S202" s="801"/>
      <c r="T202" s="801"/>
      <c r="U202" s="801"/>
      <c r="V202" s="801"/>
      <c r="W202" s="801"/>
      <c r="X202" s="801"/>
    </row>
    <row r="203" spans="1:47" ht="14.5">
      <c r="A203" s="801"/>
      <c r="B203" s="801"/>
      <c r="C203" s="74" t="s">
        <v>1093</v>
      </c>
      <c r="D203" s="63"/>
      <c r="E203" s="63"/>
      <c r="F203" s="64"/>
      <c r="G203" s="801"/>
      <c r="H203" s="781">
        <v>2024</v>
      </c>
      <c r="I203" s="782">
        <v>2025</v>
      </c>
      <c r="J203" s="782">
        <v>2026</v>
      </c>
      <c r="K203" s="782">
        <v>2027</v>
      </c>
      <c r="L203" s="782">
        <v>2028</v>
      </c>
      <c r="M203" s="782">
        <v>2029</v>
      </c>
      <c r="N203" s="782">
        <v>2030</v>
      </c>
      <c r="O203" s="782">
        <v>2031</v>
      </c>
      <c r="P203" s="782">
        <v>2032</v>
      </c>
      <c r="Q203" s="782">
        <v>2033</v>
      </c>
      <c r="R203" s="782">
        <v>2034</v>
      </c>
      <c r="S203" s="783">
        <v>2035</v>
      </c>
      <c r="T203" s="801"/>
      <c r="U203" s="801"/>
      <c r="V203" s="801"/>
      <c r="W203" s="801"/>
      <c r="X203" s="801"/>
    </row>
    <row r="204" spans="1:47" ht="14.5">
      <c r="A204" s="801"/>
      <c r="B204" s="801"/>
      <c r="C204" s="16" t="s">
        <v>888</v>
      </c>
      <c r="D204" s="63"/>
      <c r="E204" s="63"/>
      <c r="F204" s="64"/>
      <c r="G204" s="801"/>
      <c r="H204" s="1067">
        <f>U75</f>
        <v>1538.7330008165732</v>
      </c>
      <c r="I204" s="1068">
        <f t="shared" ref="I204:S204" si="15">H204+(H204*V193)</f>
        <v>1431.3795356433238</v>
      </c>
      <c r="J204" s="1068">
        <f t="shared" si="15"/>
        <v>1324.0260704700745</v>
      </c>
      <c r="K204" s="1068">
        <f t="shared" si="15"/>
        <v>1216.6726052968252</v>
      </c>
      <c r="L204" s="1068">
        <f t="shared" si="15"/>
        <v>1109.3191401235758</v>
      </c>
      <c r="M204" s="1068">
        <f t="shared" si="15"/>
        <v>1001.9656749503265</v>
      </c>
      <c r="N204" s="1068">
        <f t="shared" si="15"/>
        <v>894.61220977707728</v>
      </c>
      <c r="O204" s="1068">
        <f t="shared" si="15"/>
        <v>858.82772138599421</v>
      </c>
      <c r="P204" s="1068">
        <f t="shared" si="15"/>
        <v>823.04323299491114</v>
      </c>
      <c r="Q204" s="1068">
        <f t="shared" si="15"/>
        <v>787.25874460382806</v>
      </c>
      <c r="R204" s="1068">
        <f t="shared" si="15"/>
        <v>751.47425621274499</v>
      </c>
      <c r="S204" s="1069">
        <f t="shared" si="15"/>
        <v>715.6897678216618</v>
      </c>
      <c r="T204" s="801"/>
      <c r="U204" s="801"/>
      <c r="V204" s="801"/>
      <c r="W204" s="801"/>
      <c r="X204" s="801"/>
    </row>
    <row r="205" spans="1:47">
      <c r="A205" s="801"/>
      <c r="B205" s="802"/>
      <c r="C205" s="801"/>
      <c r="D205" s="801"/>
      <c r="E205" s="801"/>
      <c r="F205" s="801"/>
      <c r="G205" s="801"/>
      <c r="H205" s="801"/>
      <c r="I205" s="801"/>
      <c r="J205" s="801"/>
      <c r="K205" s="801"/>
      <c r="L205" s="801"/>
      <c r="M205" s="801"/>
      <c r="N205" s="801"/>
      <c r="O205" s="801"/>
      <c r="P205" s="801"/>
      <c r="Q205" s="801"/>
      <c r="R205" s="801"/>
      <c r="S205" s="801"/>
      <c r="T205" s="801"/>
      <c r="U205" s="801"/>
      <c r="V205" s="801"/>
      <c r="W205" s="801"/>
      <c r="X205" s="801"/>
    </row>
    <row r="206" spans="1:47">
      <c r="A206" s="801"/>
      <c r="B206" s="802"/>
      <c r="C206" s="1221" t="s">
        <v>1094</v>
      </c>
      <c r="D206" s="1068"/>
      <c r="E206" s="1068"/>
      <c r="F206" s="1069"/>
      <c r="G206" s="801"/>
      <c r="H206" s="793">
        <v>2024</v>
      </c>
      <c r="I206" s="716">
        <v>2025</v>
      </c>
      <c r="J206" s="716">
        <v>2026</v>
      </c>
      <c r="K206" s="716">
        <v>2027</v>
      </c>
      <c r="L206" s="716">
        <v>2028</v>
      </c>
      <c r="M206" s="716">
        <v>2029</v>
      </c>
      <c r="N206" s="716">
        <v>2030</v>
      </c>
      <c r="O206" s="716">
        <v>2031</v>
      </c>
      <c r="P206" s="716">
        <v>2032</v>
      </c>
      <c r="Q206" s="716">
        <v>2033</v>
      </c>
      <c r="R206" s="716">
        <v>2034</v>
      </c>
      <c r="S206" s="717">
        <v>2035</v>
      </c>
      <c r="T206" s="801"/>
      <c r="U206" s="801"/>
      <c r="V206" s="801"/>
      <c r="W206" s="801"/>
      <c r="X206" s="801"/>
    </row>
    <row r="207" spans="1:47" ht="16.5" customHeight="1">
      <c r="A207" s="801" t="s">
        <v>1217</v>
      </c>
      <c r="B207" s="802"/>
      <c r="C207" s="16" t="s">
        <v>888</v>
      </c>
      <c r="D207" s="1068"/>
      <c r="E207" s="1068"/>
      <c r="F207" s="1069"/>
      <c r="G207" s="801"/>
      <c r="H207" s="1067">
        <f>U180</f>
        <v>1412.3268368525873</v>
      </c>
      <c r="I207" s="1068">
        <f t="shared" ref="I207:S207" si="16">H207+(H207*V193)</f>
        <v>1313.7924063744999</v>
      </c>
      <c r="J207" s="1068">
        <f t="shared" si="16"/>
        <v>1215.2579758964125</v>
      </c>
      <c r="K207" s="1068">
        <f t="shared" si="16"/>
        <v>1116.7235454183251</v>
      </c>
      <c r="L207" s="1068">
        <f t="shared" si="16"/>
        <v>1018.1891149402376</v>
      </c>
      <c r="M207" s="1068">
        <f t="shared" si="16"/>
        <v>919.65468446215004</v>
      </c>
      <c r="N207" s="1068">
        <f t="shared" si="16"/>
        <v>821.12025398406263</v>
      </c>
      <c r="O207" s="1068">
        <f t="shared" si="16"/>
        <v>788.27544382470012</v>
      </c>
      <c r="P207" s="1068">
        <f t="shared" si="16"/>
        <v>755.43063366533761</v>
      </c>
      <c r="Q207" s="1068">
        <f t="shared" si="16"/>
        <v>722.5858235059751</v>
      </c>
      <c r="R207" s="1068">
        <f t="shared" si="16"/>
        <v>689.74101334661259</v>
      </c>
      <c r="S207" s="1069">
        <f t="shared" si="16"/>
        <v>656.89620318725008</v>
      </c>
      <c r="T207" s="801"/>
      <c r="U207" s="801"/>
      <c r="V207" s="801"/>
      <c r="W207" s="801"/>
      <c r="X207" s="801"/>
    </row>
    <row r="208" spans="1:47" ht="16.5" customHeight="1">
      <c r="A208" s="801"/>
      <c r="B208" s="802"/>
      <c r="C208" s="801"/>
      <c r="D208" s="801"/>
      <c r="E208" s="801"/>
      <c r="F208" s="801"/>
      <c r="G208" s="801"/>
      <c r="H208" s="801"/>
      <c r="I208" s="801"/>
      <c r="J208" s="801"/>
      <c r="K208" s="801"/>
      <c r="L208" s="801"/>
      <c r="M208" s="801"/>
      <c r="N208" s="801"/>
      <c r="O208" s="801"/>
      <c r="P208" s="801"/>
      <c r="Q208" s="801"/>
      <c r="R208" s="801"/>
      <c r="S208" s="801"/>
      <c r="T208" s="801"/>
      <c r="U208" s="801"/>
      <c r="V208" s="801"/>
      <c r="W208" s="801"/>
      <c r="X208" s="801"/>
    </row>
    <row r="209" spans="1:24" ht="16.5" customHeight="1">
      <c r="A209" s="801"/>
      <c r="B209" s="802"/>
      <c r="C209" s="801"/>
      <c r="D209" s="801"/>
      <c r="E209" s="801"/>
      <c r="F209" s="801"/>
      <c r="G209" s="801"/>
      <c r="H209" s="801"/>
      <c r="I209" s="801"/>
      <c r="J209" s="801"/>
      <c r="K209" s="801"/>
      <c r="L209" s="801"/>
      <c r="M209" s="801"/>
      <c r="N209" s="801"/>
      <c r="O209" s="801"/>
      <c r="P209" s="801"/>
      <c r="Q209" s="801"/>
      <c r="R209" s="801"/>
      <c r="S209" s="801"/>
      <c r="T209" s="801"/>
      <c r="U209" s="801"/>
      <c r="V209" s="801"/>
      <c r="W209" s="801"/>
      <c r="X209" s="801"/>
    </row>
    <row r="210" spans="1:24">
      <c r="A210" s="801"/>
      <c r="B210" s="801"/>
      <c r="C210" s="806" t="s">
        <v>867</v>
      </c>
      <c r="D210" s="801"/>
      <c r="E210" s="801"/>
      <c r="F210" s="801"/>
      <c r="G210" s="801"/>
      <c r="H210" s="801"/>
      <c r="I210" s="801"/>
      <c r="J210" s="801"/>
      <c r="K210" s="801"/>
      <c r="L210" s="801"/>
      <c r="M210" s="801"/>
      <c r="N210" s="801"/>
      <c r="O210" s="801"/>
      <c r="P210" s="801"/>
      <c r="Q210" s="801"/>
      <c r="R210" s="801"/>
      <c r="S210" s="801"/>
      <c r="T210" s="801"/>
      <c r="U210" s="801"/>
      <c r="V210" s="801"/>
      <c r="W210" s="801"/>
      <c r="X210" s="801"/>
    </row>
    <row r="211" spans="1:24" ht="14.15" customHeight="1">
      <c r="A211" s="801"/>
      <c r="B211" s="801"/>
      <c r="C211" s="15" t="s">
        <v>860</v>
      </c>
      <c r="D211"/>
      <c r="E211"/>
      <c r="F211"/>
      <c r="G211"/>
      <c r="H211"/>
      <c r="I211"/>
      <c r="J211"/>
      <c r="K211"/>
      <c r="L211"/>
      <c r="M211"/>
      <c r="N211"/>
      <c r="O211"/>
      <c r="P211"/>
      <c r="Q211"/>
      <c r="R211"/>
      <c r="S211" s="801"/>
      <c r="T211" s="801"/>
      <c r="U211" s="801"/>
      <c r="V211" s="801"/>
      <c r="W211" s="801"/>
      <c r="X211" s="801"/>
    </row>
    <row r="212" spans="1:24" ht="14.5">
      <c r="A212" s="801"/>
      <c r="B212" s="801"/>
      <c r="C212" s="16"/>
      <c r="D212" s="104" t="s">
        <v>503</v>
      </c>
      <c r="E212" s="819">
        <v>2011</v>
      </c>
      <c r="F212" s="820">
        <v>2012</v>
      </c>
      <c r="G212" s="820">
        <v>2013</v>
      </c>
      <c r="H212" s="820">
        <v>2014</v>
      </c>
      <c r="I212" s="820">
        <v>2015</v>
      </c>
      <c r="J212" s="820">
        <v>2016</v>
      </c>
      <c r="K212" s="821">
        <v>2017</v>
      </c>
      <c r="L212" s="821">
        <v>2018</v>
      </c>
      <c r="M212" s="821">
        <v>2019</v>
      </c>
      <c r="N212" s="821">
        <v>2020</v>
      </c>
      <c r="O212" s="821">
        <v>2021</v>
      </c>
      <c r="P212" s="821">
        <v>2022</v>
      </c>
      <c r="Q212" s="821">
        <v>2023</v>
      </c>
      <c r="R212" s="822">
        <v>2024</v>
      </c>
      <c r="S212" s="801"/>
      <c r="T212" s="801"/>
      <c r="U212" s="801"/>
      <c r="V212" s="801"/>
      <c r="W212" s="801"/>
      <c r="X212" s="801"/>
    </row>
    <row r="213" spans="1:24" ht="14.5">
      <c r="A213" s="801"/>
      <c r="B213" s="801"/>
      <c r="C213" s="18" t="s">
        <v>861</v>
      </c>
      <c r="D213" s="37" t="s">
        <v>862</v>
      </c>
      <c r="E213" s="1136">
        <v>90.605999999999995</v>
      </c>
      <c r="F213" s="1137">
        <v>91.585999999999999</v>
      </c>
      <c r="G213" s="1137">
        <v>92.271000000000001</v>
      </c>
      <c r="H213" s="1137">
        <v>92.798000000000002</v>
      </c>
      <c r="I213" s="1137">
        <v>93.85</v>
      </c>
      <c r="J213" s="1137">
        <v>94.335999999999999</v>
      </c>
      <c r="K213" s="1137">
        <v>94.888999999999996</v>
      </c>
      <c r="L213" s="1137">
        <v>95.947000000000003</v>
      </c>
      <c r="M213" s="1137">
        <v>97.108000000000004</v>
      </c>
      <c r="N213" s="1137">
        <v>100</v>
      </c>
      <c r="O213" s="1137">
        <v>101.22199999999999</v>
      </c>
      <c r="P213" s="1137">
        <v>104.482</v>
      </c>
      <c r="Q213" s="1137">
        <v>110.023</v>
      </c>
      <c r="R213" s="1138">
        <v>112.58324030948074</v>
      </c>
      <c r="S213" s="801"/>
      <c r="T213" s="801"/>
      <c r="U213" s="801"/>
      <c r="V213" s="801"/>
      <c r="W213" s="801"/>
      <c r="X213" s="801"/>
    </row>
    <row r="214" spans="1:24" ht="14.5">
      <c r="A214" s="801"/>
      <c r="B214" s="801"/>
      <c r="C214" s="278" t="s">
        <v>863</v>
      </c>
      <c r="D214" s="42" t="s">
        <v>322</v>
      </c>
      <c r="E214" s="1139"/>
      <c r="F214" s="1140">
        <v>1.0816060746529077E-2</v>
      </c>
      <c r="G214" s="1140">
        <v>7.479309064704287E-3</v>
      </c>
      <c r="H214" s="1140">
        <v>5.711436962859473E-3</v>
      </c>
      <c r="I214" s="1140">
        <v>1.1336451216620969E-2</v>
      </c>
      <c r="J214" s="1140">
        <v>5.1784762919553362E-3</v>
      </c>
      <c r="K214" s="1140">
        <v>5.8620251017638125E-3</v>
      </c>
      <c r="L214" s="1140">
        <v>1.1149869847927762E-2</v>
      </c>
      <c r="M214" s="1140">
        <v>1.2100430445975308E-2</v>
      </c>
      <c r="N214" s="1140">
        <v>2.9781274457305162E-2</v>
      </c>
      <c r="O214" s="1140">
        <v>1.2219999999999898E-2</v>
      </c>
      <c r="P214" s="1140">
        <v>3.2206437335757121E-2</v>
      </c>
      <c r="Q214" s="1140">
        <v>5.3033058325836047E-2</v>
      </c>
      <c r="R214" s="1141">
        <v>2.3270046349224582E-2</v>
      </c>
      <c r="S214" s="801"/>
      <c r="T214" s="801"/>
      <c r="U214" s="801"/>
      <c r="V214" s="801"/>
      <c r="W214" s="801"/>
      <c r="X214" s="801"/>
    </row>
    <row r="215" spans="1:24">
      <c r="A215" s="801"/>
      <c r="B215" s="801"/>
      <c r="C215" s="803"/>
      <c r="D215" s="804"/>
      <c r="E215" s="804"/>
      <c r="F215" s="804"/>
      <c r="G215" s="805"/>
      <c r="H215" s="801"/>
      <c r="I215" s="801"/>
      <c r="J215" s="801"/>
      <c r="K215" s="801"/>
      <c r="L215" s="801"/>
      <c r="M215" s="801"/>
      <c r="N215" s="801"/>
      <c r="O215" s="801"/>
      <c r="P215" s="801"/>
      <c r="Q215" s="801"/>
      <c r="R215" s="801"/>
      <c r="S215" s="801"/>
      <c r="T215" s="801"/>
      <c r="U215" s="801"/>
      <c r="V215" s="801"/>
      <c r="W215" s="801"/>
      <c r="X215" s="801"/>
    </row>
    <row r="216" spans="1:24">
      <c r="A216" s="801"/>
      <c r="B216" s="801"/>
      <c r="C216" s="806"/>
      <c r="D216" s="801"/>
      <c r="E216" s="801"/>
      <c r="F216" s="801"/>
      <c r="G216" s="801"/>
      <c r="H216" s="801"/>
      <c r="I216" s="801"/>
      <c r="J216" s="801"/>
      <c r="K216" s="801"/>
      <c r="L216" s="801"/>
      <c r="M216" s="801"/>
      <c r="N216" s="801"/>
      <c r="O216" s="801"/>
      <c r="P216" s="801"/>
      <c r="Q216" s="801"/>
      <c r="R216" s="801"/>
      <c r="S216" s="801"/>
      <c r="T216" s="801"/>
      <c r="U216" s="801"/>
      <c r="V216" s="801"/>
      <c r="W216" s="801"/>
      <c r="X216" s="801"/>
    </row>
    <row r="253" spans="3:3">
      <c r="C253" s="445" t="s">
        <v>232</v>
      </c>
    </row>
  </sheetData>
  <hyperlinks>
    <hyperlink ref="A44" r:id="rId1" display="https://www.collectivites-locales.gouv.fr/files/Accueil/DESL/2025/BIS 192 - les d%C3%A9penses de voirie 2013-2023 v4.pdf" xr:uid="{3F569951-3C37-46A4-9D20-3558E333CCB1}"/>
    <hyperlink ref="A81" r:id="rId2" display="https://artificialisation.developpement-durable.gouv.fr/" xr:uid="{1EAB66B9-8E53-47A7-BF20-E3F179CE9779}"/>
    <hyperlink ref="A87" r:id="rId3" display="https://www.statistiques.developpement-durable.gouv.fr/bilan-annuel-des-transports-en-2023" xr:uid="{CD6B207C-90E4-401E-A029-67AF6473AA19}"/>
    <hyperlink ref="A127" r:id="rId4" display="https://www.cerema.fr/fr/system/files?file=documents%2F2017%2F08%2FAnalyse_regionale_Bretagne_PDL_2014_DTerOuest.pdf&amp;utm_source=chatgpt.com" xr:uid="{9291901E-8589-4C2B-B040-32B726146EE2}"/>
    <hyperlink ref="A119" r:id="rId5" display="https://artificialisation.developpement-durable.gouv.fr/comprendre-et-sensibiliser/faq" xr:uid="{2CC29409-BC78-44BC-81B7-55FE7C6B8E22}"/>
    <hyperlink ref="A139" r:id="rId6" display="https://artificialisation.developpement-durable.gouv.fr/" xr:uid="{BCDCD0ED-5630-498F-B412-A7861B7D8C47}"/>
    <hyperlink ref="A130" r:id="rId7" display="https://www.nouvelle-aquitaine.developpement-durable.gouv.fr/IMG/pdf/fiche_voirie_150501_cle0647fd.pdf" xr:uid="{FFFDF31F-0569-4151-BF13-B6C161DCFD43}"/>
    <hyperlink ref="A154" r:id="rId8" display="https://www.routesdefrance.com/wp-content/uploads/2015/06/dossier-de-presse-ag-2015-usirf.pdf" xr:uid="{4379729D-BA50-489D-86F7-34AE87535B15}"/>
    <hyperlink ref="A155" r:id="rId9" display="https://www.cerema.fr/fr/system/files?file=documents%2F2017%2F08%2FAnalyse_regionale_Bretagne_PDL_2014_DTerOuest.pdf&amp;utm_source=chatgpt.com" xr:uid="{CA300CC9-528E-40AD-BD6C-C8745B048248}"/>
  </hyperlinks>
  <pageMargins left="0.7" right="0.7" top="0.75" bottom="0.75" header="0.3" footer="0.3"/>
  <pageSetup paperSize="9" orientation="portrait" r:id="rId10"/>
  <drawing r:id="rId1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3C831-835F-4D32-82E8-A9E58C9CBC28}">
  <sheetPr>
    <tabColor theme="2" tint="-9.9978637043366805E-2"/>
  </sheetPr>
  <dimension ref="A1:Z10"/>
  <sheetViews>
    <sheetView zoomScale="69" workbookViewId="0"/>
  </sheetViews>
  <sheetFormatPr baseColWidth="10" defaultRowHeight="14.5"/>
  <sheetData>
    <row r="1" spans="1:26">
      <c r="A1" t="s">
        <v>1149</v>
      </c>
      <c r="B1">
        <v>2011</v>
      </c>
      <c r="C1">
        <v>2012</v>
      </c>
      <c r="D1">
        <v>2013</v>
      </c>
      <c r="E1">
        <v>2014</v>
      </c>
      <c r="F1">
        <v>2015</v>
      </c>
      <c r="G1">
        <v>2016</v>
      </c>
      <c r="H1">
        <v>2017</v>
      </c>
      <c r="I1">
        <v>2018</v>
      </c>
      <c r="J1">
        <v>2019</v>
      </c>
      <c r="K1">
        <v>2020</v>
      </c>
      <c r="L1">
        <v>2021</v>
      </c>
      <c r="M1">
        <v>2022</v>
      </c>
      <c r="N1">
        <v>2023</v>
      </c>
      <c r="O1">
        <v>2024</v>
      </c>
      <c r="P1">
        <v>2025</v>
      </c>
      <c r="Q1">
        <v>2026</v>
      </c>
      <c r="R1">
        <v>2027</v>
      </c>
      <c r="S1">
        <v>2028</v>
      </c>
      <c r="T1">
        <v>2029</v>
      </c>
      <c r="U1">
        <v>2030</v>
      </c>
      <c r="V1">
        <v>2031</v>
      </c>
      <c r="W1">
        <v>2032</v>
      </c>
      <c r="X1">
        <v>2033</v>
      </c>
      <c r="Y1">
        <v>2034</v>
      </c>
      <c r="Z1">
        <v>2035</v>
      </c>
    </row>
    <row r="2" spans="1:26">
      <c r="A2" t="s">
        <v>1150</v>
      </c>
      <c r="B2">
        <v>4073.1392839999999</v>
      </c>
      <c r="C2">
        <v>4050.751593</v>
      </c>
      <c r="D2">
        <v>3793.6089499999998</v>
      </c>
      <c r="E2">
        <v>3046.01368</v>
      </c>
      <c r="F2">
        <v>2624.1150499999999</v>
      </c>
      <c r="G2">
        <v>2785.8688860000002</v>
      </c>
      <c r="H2">
        <v>2694.0036599999999</v>
      </c>
      <c r="I2">
        <v>2791.5136299999999</v>
      </c>
      <c r="J2">
        <v>2304.41563</v>
      </c>
      <c r="K2">
        <v>2658.5448500000002</v>
      </c>
      <c r="L2">
        <v>2196.0270500000001</v>
      </c>
      <c r="M2">
        <v>2049.5233800000001</v>
      </c>
      <c r="N2">
        <v>1583.5025900000001</v>
      </c>
    </row>
    <row r="3" spans="1:26">
      <c r="A3" t="s">
        <v>1151</v>
      </c>
      <c r="B3">
        <v>3911.5224821536099</v>
      </c>
      <c r="C3">
        <v>3729.4870458074729</v>
      </c>
      <c r="D3">
        <v>3547.4516094612768</v>
      </c>
      <c r="E3">
        <v>3365.4161731151398</v>
      </c>
      <c r="F3">
        <v>3183.3807367690019</v>
      </c>
      <c r="G3">
        <v>3001.345300422865</v>
      </c>
      <c r="H3">
        <v>2819.309864076728</v>
      </c>
      <c r="I3">
        <v>2637.2744277305901</v>
      </c>
      <c r="J3">
        <v>2455.2389913844531</v>
      </c>
      <c r="K3">
        <v>2273.2035550383148</v>
      </c>
      <c r="L3">
        <v>2091.1681186921778</v>
      </c>
      <c r="M3">
        <v>1909.1326823460399</v>
      </c>
      <c r="N3">
        <v>1727.097245999903</v>
      </c>
    </row>
    <row r="4" spans="1:26">
      <c r="A4" t="s">
        <v>1152</v>
      </c>
      <c r="O4">
        <v>1545.061809653766</v>
      </c>
      <c r="P4">
        <v>1363.0263733076281</v>
      </c>
      <c r="Q4">
        <v>1180.9909369614909</v>
      </c>
      <c r="R4">
        <v>998.95550061529502</v>
      </c>
      <c r="S4">
        <v>816.92006426915759</v>
      </c>
      <c r="T4">
        <v>634.88462792302016</v>
      </c>
      <c r="U4">
        <v>452.84919157688267</v>
      </c>
      <c r="V4">
        <v>270.8137552307453</v>
      </c>
      <c r="W4">
        <v>88.77831888460787</v>
      </c>
      <c r="X4">
        <v>-93.25711746152956</v>
      </c>
      <c r="Y4">
        <v>-275.29255380766699</v>
      </c>
      <c r="Z4">
        <v>-457.32799015380442</v>
      </c>
    </row>
    <row r="5" spans="1:26">
      <c r="A5" t="s">
        <v>1153</v>
      </c>
      <c r="O5">
        <v>1545.061809653766</v>
      </c>
      <c r="P5">
        <v>1363.0263733076281</v>
      </c>
      <c r="Q5">
        <v>1180.9909369614909</v>
      </c>
      <c r="R5">
        <v>998.95550061529502</v>
      </c>
      <c r="S5">
        <v>816.92006426915759</v>
      </c>
      <c r="T5">
        <v>634.88462792302016</v>
      </c>
      <c r="U5">
        <v>500</v>
      </c>
      <c r="V5">
        <v>500</v>
      </c>
      <c r="W5">
        <v>500</v>
      </c>
      <c r="X5">
        <v>500</v>
      </c>
      <c r="Y5">
        <v>500</v>
      </c>
      <c r="Z5">
        <v>500</v>
      </c>
    </row>
    <row r="7" spans="1:26">
      <c r="A7" t="s">
        <v>1154</v>
      </c>
      <c r="B7" t="s">
        <v>1155</v>
      </c>
    </row>
    <row r="8" spans="1:26">
      <c r="A8" t="s">
        <v>1156</v>
      </c>
      <c r="B8">
        <v>-182.03543634614149</v>
      </c>
    </row>
    <row r="9" spans="1:26">
      <c r="A9" t="s">
        <v>1157</v>
      </c>
      <c r="B9">
        <v>369984.78497424407</v>
      </c>
    </row>
    <row r="10" spans="1:26">
      <c r="A10" t="s">
        <v>1158</v>
      </c>
      <c r="B10">
        <v>0.86849274820927491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230DF-8E40-4305-B746-A21F144CC964}">
  <dimension ref="A1:V72"/>
  <sheetViews>
    <sheetView zoomScale="55" zoomScaleNormal="55" workbookViewId="0">
      <selection activeCell="T50" sqref="T50"/>
    </sheetView>
  </sheetViews>
  <sheetFormatPr baseColWidth="10" defaultColWidth="11.453125" defaultRowHeight="14.5"/>
  <cols>
    <col min="4" max="4" width="21.7265625" customWidth="1"/>
    <col min="8" max="9" width="19.7265625" bestFit="1" customWidth="1"/>
    <col min="10" max="10" width="18.81640625" bestFit="1" customWidth="1"/>
    <col min="11" max="12" width="19.7265625" bestFit="1" customWidth="1"/>
    <col min="13" max="13" width="19.453125" bestFit="1" customWidth="1"/>
    <col min="14" max="15" width="19.7265625" bestFit="1" customWidth="1"/>
    <col min="16" max="16" width="19.453125" bestFit="1" customWidth="1"/>
    <col min="17" max="18" width="19.7265625" bestFit="1" customWidth="1"/>
    <col min="19" max="19" width="21" bestFit="1" customWidth="1"/>
    <col min="20" max="20" width="20.54296875" bestFit="1" customWidth="1"/>
    <col min="21" max="21" width="16.453125" customWidth="1"/>
  </cols>
  <sheetData>
    <row r="1" spans="1:20" ht="21">
      <c r="A1" s="95" t="s">
        <v>264</v>
      </c>
      <c r="B1" s="95" t="s">
        <v>265</v>
      </c>
      <c r="C1" s="1" t="s">
        <v>785</v>
      </c>
      <c r="H1" s="150">
        <v>2011</v>
      </c>
      <c r="I1" s="151">
        <v>2012</v>
      </c>
      <c r="J1" s="151">
        <v>2013</v>
      </c>
      <c r="K1" s="151">
        <v>2014</v>
      </c>
      <c r="L1" s="151">
        <v>2015</v>
      </c>
      <c r="M1" s="151">
        <v>2016</v>
      </c>
      <c r="N1" s="151">
        <v>2017</v>
      </c>
      <c r="O1" s="151">
        <v>2018</v>
      </c>
      <c r="P1" s="151">
        <v>2019</v>
      </c>
      <c r="Q1" s="151">
        <v>2020</v>
      </c>
      <c r="R1" s="151">
        <v>2021</v>
      </c>
      <c r="S1" s="151">
        <v>2022</v>
      </c>
      <c r="T1" s="152">
        <v>2023</v>
      </c>
    </row>
    <row r="3" spans="1:20">
      <c r="C3" s="7" t="s">
        <v>267</v>
      </c>
    </row>
    <row r="4" spans="1:20">
      <c r="C4" t="s">
        <v>786</v>
      </c>
    </row>
    <row r="6" spans="1:20">
      <c r="C6" s="7" t="s">
        <v>269</v>
      </c>
    </row>
    <row r="7" spans="1:20">
      <c r="C7" s="7"/>
    </row>
    <row r="8" spans="1:20">
      <c r="C8" s="7"/>
    </row>
    <row r="9" spans="1:20" ht="15.65" customHeight="1">
      <c r="C9" s="7"/>
    </row>
    <row r="10" spans="1:20">
      <c r="C10" s="7"/>
    </row>
    <row r="11" spans="1:20">
      <c r="C11" s="7"/>
    </row>
    <row r="12" spans="1:20">
      <c r="C12" s="7"/>
    </row>
    <row r="14" spans="1:20" ht="22.5" customHeight="1"/>
    <row r="15" spans="1:20">
      <c r="C15" s="7" t="s">
        <v>787</v>
      </c>
    </row>
    <row r="16" spans="1:20">
      <c r="C16" t="s">
        <v>788</v>
      </c>
    </row>
    <row r="17" spans="1:21">
      <c r="C17" t="s">
        <v>789</v>
      </c>
    </row>
    <row r="18" spans="1:21">
      <c r="C18" t="s">
        <v>790</v>
      </c>
    </row>
    <row r="19" spans="1:21">
      <c r="C19" t="s">
        <v>791</v>
      </c>
    </row>
    <row r="21" spans="1:21">
      <c r="A21" s="8"/>
      <c r="B21" s="8"/>
      <c r="C21" s="817" t="s">
        <v>792</v>
      </c>
      <c r="D21" s="8"/>
      <c r="E21" s="8"/>
      <c r="F21" s="8"/>
      <c r="G21" s="8"/>
      <c r="H21" s="8"/>
      <c r="I21" s="8"/>
      <c r="J21" s="8"/>
      <c r="K21" s="8"/>
      <c r="L21" s="8"/>
      <c r="M21" s="8"/>
      <c r="N21" s="8"/>
      <c r="O21" s="8"/>
      <c r="P21" s="10"/>
      <c r="Q21" s="8"/>
      <c r="R21" s="8"/>
      <c r="S21" s="8"/>
      <c r="T21" s="8"/>
    </row>
    <row r="23" spans="1:21">
      <c r="C23" s="374" t="s">
        <v>793</v>
      </c>
      <c r="D23" s="70"/>
      <c r="E23" s="70"/>
      <c r="F23" s="29"/>
      <c r="H23" s="154">
        <v>2011</v>
      </c>
      <c r="I23" s="155">
        <v>2012</v>
      </c>
      <c r="J23" s="155">
        <v>2013</v>
      </c>
      <c r="K23" s="155">
        <v>2014</v>
      </c>
      <c r="L23" s="155">
        <v>2015</v>
      </c>
      <c r="M23" s="155">
        <v>2016</v>
      </c>
      <c r="N23" s="12">
        <v>2017</v>
      </c>
      <c r="O23" s="12">
        <v>2018</v>
      </c>
      <c r="P23" s="12">
        <v>2019</v>
      </c>
      <c r="Q23" s="12">
        <v>2020</v>
      </c>
      <c r="R23" s="12">
        <v>2021</v>
      </c>
      <c r="S23" s="12">
        <v>2022</v>
      </c>
      <c r="T23" s="12">
        <v>2023</v>
      </c>
      <c r="U23" s="13">
        <v>2024</v>
      </c>
    </row>
    <row r="24" spans="1:21">
      <c r="C24" s="69" t="s">
        <v>560</v>
      </c>
      <c r="D24" s="70"/>
      <c r="E24" s="70" t="s">
        <v>330</v>
      </c>
      <c r="F24" s="29"/>
      <c r="H24" s="71">
        <v>663150013.38999987</v>
      </c>
      <c r="I24">
        <v>690990482.31999993</v>
      </c>
      <c r="J24">
        <v>704205310.66000021</v>
      </c>
      <c r="K24">
        <v>717347700.15999997</v>
      </c>
      <c r="L24">
        <v>711612012.61000013</v>
      </c>
      <c r="M24">
        <v>695233753.53000009</v>
      </c>
      <c r="N24">
        <v>700545328.26000082</v>
      </c>
      <c r="O24">
        <v>691896461.18999982</v>
      </c>
      <c r="P24">
        <v>699027278.62000024</v>
      </c>
      <c r="Q24">
        <v>537468280.75999999</v>
      </c>
      <c r="R24">
        <v>668475963.98999965</v>
      </c>
      <c r="S24">
        <v>742453790.21999943</v>
      </c>
      <c r="T24">
        <v>831751299.13999987</v>
      </c>
      <c r="U24" s="31">
        <v>870889515.32000053</v>
      </c>
    </row>
    <row r="25" spans="1:21">
      <c r="C25" s="71" t="s">
        <v>561</v>
      </c>
      <c r="E25" t="s">
        <v>232</v>
      </c>
      <c r="F25" s="31"/>
      <c r="H25" s="71">
        <v>0</v>
      </c>
      <c r="I25">
        <v>0</v>
      </c>
      <c r="J25">
        <v>0</v>
      </c>
      <c r="K25">
        <v>0</v>
      </c>
      <c r="L25">
        <v>0</v>
      </c>
      <c r="M25">
        <v>0</v>
      </c>
      <c r="N25">
        <v>0</v>
      </c>
      <c r="O25">
        <v>0</v>
      </c>
      <c r="P25">
        <v>9094933.0099999998</v>
      </c>
      <c r="Q25">
        <v>6878808.6600000001</v>
      </c>
      <c r="R25">
        <v>7843981.2300000004</v>
      </c>
      <c r="S25">
        <v>8135629.6700000009</v>
      </c>
      <c r="T25">
        <v>8688462.540000001</v>
      </c>
      <c r="U25" s="31">
        <v>9030792.7899999991</v>
      </c>
    </row>
    <row r="26" spans="1:21">
      <c r="C26" s="71" t="s">
        <v>345</v>
      </c>
      <c r="E26" t="s">
        <v>232</v>
      </c>
      <c r="F26" s="31"/>
      <c r="H26" s="71">
        <v>57943445.569999993</v>
      </c>
      <c r="I26">
        <v>66224642.20000001</v>
      </c>
      <c r="J26">
        <v>71918731.010000005</v>
      </c>
      <c r="K26">
        <v>77066898.140000001</v>
      </c>
      <c r="L26">
        <v>80406188.979999989</v>
      </c>
      <c r="M26">
        <v>76917498.459999993</v>
      </c>
      <c r="N26">
        <v>79869194.000000015</v>
      </c>
      <c r="O26">
        <v>81805158.070000008</v>
      </c>
      <c r="P26">
        <v>81759991.080000028</v>
      </c>
      <c r="Q26">
        <v>64703238.969999984</v>
      </c>
      <c r="R26">
        <v>78347345.379999995</v>
      </c>
      <c r="S26">
        <v>91332029.87999998</v>
      </c>
      <c r="T26">
        <v>103148759.33999999</v>
      </c>
      <c r="U26" s="31">
        <v>104610600.75999999</v>
      </c>
    </row>
    <row r="27" spans="1:21">
      <c r="C27" s="71" t="s">
        <v>562</v>
      </c>
      <c r="E27" t="s">
        <v>232</v>
      </c>
      <c r="F27" s="31"/>
      <c r="H27" s="71">
        <v>0</v>
      </c>
      <c r="I27">
        <v>0</v>
      </c>
      <c r="J27">
        <v>0</v>
      </c>
      <c r="K27">
        <v>0</v>
      </c>
      <c r="L27">
        <v>0</v>
      </c>
      <c r="M27">
        <v>4881933.0699999994</v>
      </c>
      <c r="N27">
        <v>4951129.3199999994</v>
      </c>
      <c r="O27">
        <v>6229375.9900000002</v>
      </c>
      <c r="P27">
        <v>5235283.580000001</v>
      </c>
      <c r="Q27">
        <v>4597601.4800000004</v>
      </c>
      <c r="R27">
        <v>5551290.7800000003</v>
      </c>
      <c r="S27">
        <v>6445002.7999999998</v>
      </c>
      <c r="T27">
        <v>7617155.3499999996</v>
      </c>
      <c r="U27" s="31">
        <v>8823441.1500000004</v>
      </c>
    </row>
    <row r="28" spans="1:21">
      <c r="C28" s="71" t="s">
        <v>346</v>
      </c>
      <c r="E28" t="s">
        <v>232</v>
      </c>
      <c r="F28" s="31"/>
      <c r="H28" s="71">
        <v>89614223.339999989</v>
      </c>
      <c r="I28">
        <v>100864186.36000001</v>
      </c>
      <c r="J28">
        <v>111967011</v>
      </c>
      <c r="K28">
        <v>113456302.03</v>
      </c>
      <c r="L28">
        <v>116423358.49000001</v>
      </c>
      <c r="M28">
        <v>114042401.39</v>
      </c>
      <c r="N28">
        <v>112954981.3899999</v>
      </c>
      <c r="O28">
        <v>112733101.67999999</v>
      </c>
      <c r="P28">
        <v>112242778.43000001</v>
      </c>
      <c r="Q28">
        <v>85823566.559999987</v>
      </c>
      <c r="R28">
        <v>108821412.7099999</v>
      </c>
      <c r="S28">
        <v>120634929.26000001</v>
      </c>
      <c r="T28">
        <v>133110003.57000001</v>
      </c>
      <c r="U28" s="31">
        <v>134901294.11000001</v>
      </c>
    </row>
    <row r="29" spans="1:21">
      <c r="C29" s="71" t="s">
        <v>563</v>
      </c>
      <c r="E29" t="s">
        <v>232</v>
      </c>
      <c r="F29" s="31"/>
      <c r="H29" s="71">
        <v>22274191.670000002</v>
      </c>
      <c r="I29">
        <v>23707893.210000001</v>
      </c>
      <c r="J29">
        <v>26552829.640000001</v>
      </c>
      <c r="K29">
        <v>28427582.139999989</v>
      </c>
      <c r="L29">
        <v>28163896.52</v>
      </c>
      <c r="M29">
        <v>28370398.609999999</v>
      </c>
      <c r="N29">
        <v>28722804.699999999</v>
      </c>
      <c r="O29">
        <v>29808765.520000011</v>
      </c>
      <c r="P29">
        <v>30907888.189999998</v>
      </c>
      <c r="Q29">
        <v>27284319.879999999</v>
      </c>
      <c r="R29">
        <v>32238558.27</v>
      </c>
      <c r="S29">
        <v>40414194.240000002</v>
      </c>
      <c r="T29">
        <v>53731107.850000001</v>
      </c>
      <c r="U29" s="31">
        <v>65982008.690000005</v>
      </c>
    </row>
    <row r="30" spans="1:21">
      <c r="C30" s="71" t="s">
        <v>565</v>
      </c>
      <c r="E30" t="s">
        <v>232</v>
      </c>
      <c r="F30" s="31"/>
      <c r="H30" s="71">
        <v>0</v>
      </c>
      <c r="I30">
        <v>0</v>
      </c>
      <c r="J30">
        <v>0</v>
      </c>
      <c r="K30">
        <v>0</v>
      </c>
      <c r="L30">
        <v>0</v>
      </c>
      <c r="M30">
        <v>191131.86</v>
      </c>
      <c r="N30">
        <v>120719.93</v>
      </c>
      <c r="O30">
        <v>226385.91</v>
      </c>
      <c r="P30">
        <v>262294.21999999997</v>
      </c>
      <c r="Q30">
        <v>248353.65</v>
      </c>
      <c r="R30">
        <v>282612.90000000002</v>
      </c>
      <c r="S30">
        <v>385722.6</v>
      </c>
      <c r="T30">
        <v>302752.99</v>
      </c>
      <c r="U30" s="31">
        <v>413044.73</v>
      </c>
    </row>
    <row r="31" spans="1:21">
      <c r="C31" s="91" t="s">
        <v>564</v>
      </c>
      <c r="D31" s="92"/>
      <c r="E31" s="92" t="s">
        <v>232</v>
      </c>
      <c r="F31" s="33"/>
      <c r="H31" s="71">
        <v>2387765.56</v>
      </c>
      <c r="I31">
        <v>1981497.9</v>
      </c>
      <c r="J31">
        <v>1783036.17</v>
      </c>
      <c r="K31">
        <v>1755109.5</v>
      </c>
      <c r="L31">
        <v>1279713.29</v>
      </c>
      <c r="M31">
        <v>1438122.42</v>
      </c>
      <c r="N31">
        <v>1343798.59</v>
      </c>
      <c r="O31">
        <v>1404731.45</v>
      </c>
      <c r="P31">
        <v>1476884.64</v>
      </c>
      <c r="Q31">
        <v>2415508.6900000004</v>
      </c>
      <c r="R31">
        <v>2414098.06</v>
      </c>
      <c r="S31">
        <v>1148205.21</v>
      </c>
      <c r="T31">
        <v>1348511.15</v>
      </c>
      <c r="U31" s="31">
        <v>1628127.97</v>
      </c>
    </row>
    <row r="32" spans="1:21">
      <c r="C32" s="301" t="s">
        <v>324</v>
      </c>
      <c r="D32" s="92"/>
      <c r="E32" s="92"/>
      <c r="F32" s="33"/>
      <c r="H32" s="65">
        <v>835369639.52999973</v>
      </c>
      <c r="I32" s="63">
        <v>883768701.99000001</v>
      </c>
      <c r="J32" s="63">
        <v>916426918.48000014</v>
      </c>
      <c r="K32" s="63">
        <v>938053591.96999991</v>
      </c>
      <c r="L32" s="63">
        <v>937885169.8900001</v>
      </c>
      <c r="M32" s="63">
        <v>921075239.34000015</v>
      </c>
      <c r="N32" s="63">
        <v>928507956.19000077</v>
      </c>
      <c r="O32" s="63">
        <v>924103979.80999982</v>
      </c>
      <c r="P32" s="63">
        <v>940007331.77000034</v>
      </c>
      <c r="Q32" s="63">
        <v>729419678.64999998</v>
      </c>
      <c r="R32" s="63">
        <v>903975263.31999946</v>
      </c>
      <c r="S32" s="63">
        <v>1010949503.8799994</v>
      </c>
      <c r="T32" s="63">
        <v>1139698051.9299998</v>
      </c>
      <c r="U32" s="64">
        <v>1196278825.5200007</v>
      </c>
    </row>
    <row r="34" spans="1:21" s="705" customFormat="1" ht="14">
      <c r="C34" s="794" t="s">
        <v>582</v>
      </c>
      <c r="P34" s="706"/>
    </row>
    <row r="36" spans="1:21">
      <c r="C36" s="816" t="s">
        <v>353</v>
      </c>
    </row>
    <row r="38" spans="1:21">
      <c r="A38" s="120" t="s">
        <v>794</v>
      </c>
      <c r="C38" t="s">
        <v>795</v>
      </c>
    </row>
    <row r="40" spans="1:21">
      <c r="C40" t="s">
        <v>796</v>
      </c>
    </row>
    <row r="41" spans="1:21">
      <c r="C41" s="69" t="s">
        <v>797</v>
      </c>
      <c r="D41" s="69">
        <v>581</v>
      </c>
      <c r="E41" s="29">
        <f>D41/$D$45</f>
        <v>0.11367638426922325</v>
      </c>
    </row>
    <row r="42" spans="1:21">
      <c r="C42" s="71" t="s">
        <v>798</v>
      </c>
      <c r="D42" s="71">
        <v>178</v>
      </c>
      <c r="E42" s="31">
        <f>D42/$D$45</f>
        <v>3.4826844061827428E-2</v>
      </c>
    </row>
    <row r="43" spans="1:21">
      <c r="C43" s="71" t="s">
        <v>799</v>
      </c>
      <c r="D43" s="71">
        <v>1760</v>
      </c>
      <c r="E43" s="31">
        <f>D43/$D$45</f>
        <v>0.34435531207200154</v>
      </c>
    </row>
    <row r="44" spans="1:21">
      <c r="C44" s="71" t="s">
        <v>800</v>
      </c>
      <c r="D44" s="71">
        <v>2592</v>
      </c>
      <c r="E44" s="31">
        <f>D44/$D$45</f>
        <v>0.50714145959694779</v>
      </c>
    </row>
    <row r="45" spans="1:21">
      <c r="C45" s="91" t="s">
        <v>241</v>
      </c>
      <c r="D45" s="91">
        <f>SUM(D41:D44)</f>
        <v>5111</v>
      </c>
      <c r="E45" s="33">
        <f>D45/$D$45</f>
        <v>1</v>
      </c>
    </row>
    <row r="47" spans="1:21">
      <c r="C47" s="198" t="s">
        <v>801</v>
      </c>
      <c r="D47" s="70"/>
      <c r="E47" s="70"/>
      <c r="F47" s="29"/>
      <c r="H47" s="154">
        <v>2011</v>
      </c>
      <c r="I47" s="155">
        <v>2012</v>
      </c>
      <c r="J47" s="155">
        <v>2013</v>
      </c>
      <c r="K47" s="155">
        <v>2014</v>
      </c>
      <c r="L47" s="155">
        <v>2015</v>
      </c>
      <c r="M47" s="155">
        <v>2016</v>
      </c>
      <c r="N47" s="12">
        <v>2017</v>
      </c>
      <c r="O47" s="12">
        <v>2018</v>
      </c>
      <c r="P47" s="12">
        <v>2019</v>
      </c>
      <c r="Q47" s="12">
        <v>2020</v>
      </c>
      <c r="R47" s="12">
        <v>2021</v>
      </c>
      <c r="S47" s="12">
        <v>2022</v>
      </c>
      <c r="T47" s="12">
        <v>2023</v>
      </c>
      <c r="U47" s="13">
        <v>2024</v>
      </c>
    </row>
    <row r="48" spans="1:21">
      <c r="C48" s="71" t="s">
        <v>802</v>
      </c>
      <c r="F48" s="31"/>
      <c r="H48" s="71"/>
      <c r="L48" s="333">
        <v>3.2000000000000001E-2</v>
      </c>
      <c r="O48" s="333">
        <v>2.9000000000000001E-2</v>
      </c>
      <c r="Q48" s="333">
        <v>6.6000000000000003E-2</v>
      </c>
      <c r="R48" s="333">
        <v>0.106</v>
      </c>
      <c r="S48" s="333">
        <v>0.13100000000000001</v>
      </c>
      <c r="T48" s="333">
        <v>0.121</v>
      </c>
      <c r="U48" s="328">
        <v>0.1</v>
      </c>
    </row>
    <row r="49" spans="1:21">
      <c r="C49" s="91" t="s">
        <v>803</v>
      </c>
      <c r="D49" s="92"/>
      <c r="E49" s="92"/>
      <c r="F49" s="33"/>
      <c r="H49" s="91"/>
      <c r="I49" s="92"/>
      <c r="J49" s="92"/>
      <c r="K49" s="92"/>
      <c r="L49" s="92"/>
      <c r="M49" s="92"/>
      <c r="N49" s="92"/>
      <c r="O49" s="92"/>
      <c r="P49" s="92"/>
      <c r="Q49" s="92"/>
      <c r="R49" s="329">
        <v>0.62</v>
      </c>
      <c r="S49" s="118">
        <v>0.5</v>
      </c>
      <c r="T49" s="329">
        <v>0.06</v>
      </c>
      <c r="U49" s="1415">
        <v>3.3000000000000002E-2</v>
      </c>
    </row>
    <row r="51" spans="1:21">
      <c r="A51" s="120" t="s">
        <v>804</v>
      </c>
      <c r="C51" s="334" t="s">
        <v>805</v>
      </c>
      <c r="D51" s="96"/>
      <c r="E51" s="96"/>
    </row>
    <row r="52" spans="1:21">
      <c r="A52" s="120" t="s">
        <v>806</v>
      </c>
      <c r="C52" s="334" t="s">
        <v>807</v>
      </c>
      <c r="D52" s="96"/>
      <c r="E52" s="96"/>
    </row>
    <row r="53" spans="1:21">
      <c r="A53" s="120" t="s">
        <v>808</v>
      </c>
      <c r="C53" s="334" t="s">
        <v>809</v>
      </c>
      <c r="D53" s="96"/>
      <c r="E53" s="96"/>
    </row>
    <row r="54" spans="1:21">
      <c r="A54" s="120" t="s">
        <v>810</v>
      </c>
      <c r="C54" s="334" t="s">
        <v>811</v>
      </c>
      <c r="D54" s="96"/>
      <c r="E54" s="96"/>
    </row>
    <row r="55" spans="1:21">
      <c r="A55" s="120" t="s">
        <v>812</v>
      </c>
      <c r="C55" s="334" t="s">
        <v>813</v>
      </c>
      <c r="D55" s="96"/>
      <c r="E55" s="96"/>
      <c r="N55" t="s">
        <v>255</v>
      </c>
    </row>
    <row r="56" spans="1:21">
      <c r="A56" s="120" t="s">
        <v>814</v>
      </c>
      <c r="C56" s="334" t="s">
        <v>815</v>
      </c>
      <c r="D56" s="96"/>
      <c r="E56" s="96"/>
    </row>
    <row r="57" spans="1:21">
      <c r="A57" s="120" t="s">
        <v>816</v>
      </c>
      <c r="C57" s="334" t="s">
        <v>817</v>
      </c>
      <c r="D57" s="96"/>
      <c r="E57" s="96"/>
    </row>
    <row r="58" spans="1:21">
      <c r="A58" t="s">
        <v>818</v>
      </c>
      <c r="C58" s="190" t="s">
        <v>819</v>
      </c>
      <c r="D58" s="96"/>
    </row>
    <row r="59" spans="1:21">
      <c r="A59" s="120"/>
      <c r="C59" s="120"/>
    </row>
    <row r="60" spans="1:21">
      <c r="C60" s="15" t="s">
        <v>820</v>
      </c>
    </row>
    <row r="62" spans="1:21">
      <c r="A62" t="s">
        <v>818</v>
      </c>
      <c r="C62" t="s">
        <v>821</v>
      </c>
    </row>
    <row r="64" spans="1:21">
      <c r="C64" s="198" t="s">
        <v>801</v>
      </c>
      <c r="D64" s="70"/>
      <c r="E64" s="70"/>
      <c r="F64" s="29"/>
      <c r="H64" s="156">
        <v>2011</v>
      </c>
      <c r="I64" s="157">
        <v>2012</v>
      </c>
      <c r="J64" s="157">
        <v>2013</v>
      </c>
      <c r="K64" s="157">
        <v>2014</v>
      </c>
      <c r="L64" s="157">
        <v>2015</v>
      </c>
      <c r="M64" s="157">
        <v>2016</v>
      </c>
      <c r="N64" s="45">
        <v>2017</v>
      </c>
      <c r="O64" s="45">
        <v>2018</v>
      </c>
      <c r="P64" s="45">
        <v>2019</v>
      </c>
      <c r="Q64" s="45">
        <v>2020</v>
      </c>
      <c r="R64" s="45">
        <v>2021</v>
      </c>
      <c r="S64" s="45">
        <v>2022</v>
      </c>
      <c r="T64" s="45">
        <v>2023</v>
      </c>
      <c r="U64" s="46">
        <v>2024</v>
      </c>
    </row>
    <row r="65" spans="1:22">
      <c r="C65" s="69" t="s">
        <v>822</v>
      </c>
      <c r="D65" s="70"/>
      <c r="E65" s="70" t="s">
        <v>258</v>
      </c>
      <c r="F65" s="29"/>
      <c r="H65" s="69"/>
      <c r="I65" s="70"/>
      <c r="J65" s="70"/>
      <c r="K65" s="70"/>
      <c r="L65" s="70"/>
      <c r="M65" s="70"/>
      <c r="N65" s="70"/>
      <c r="O65" s="70"/>
      <c r="P65" s="70"/>
      <c r="Q65" s="70"/>
      <c r="R65" s="815">
        <f>R32*R49*20%</f>
        <v>112092932.65167993</v>
      </c>
      <c r="S65" s="335">
        <f>S32*S49*20%</f>
        <v>101094950.38799995</v>
      </c>
      <c r="T65" s="815">
        <f>T32*T49*20%</f>
        <v>13676376.623159999</v>
      </c>
      <c r="U65" s="338">
        <f>U32*U49*20%</f>
        <v>7895440.2484320048</v>
      </c>
      <c r="V65" s="315"/>
    </row>
    <row r="66" spans="1:22">
      <c r="C66" s="91" t="s">
        <v>823</v>
      </c>
      <c r="D66" s="92"/>
      <c r="E66" s="92" t="s">
        <v>232</v>
      </c>
      <c r="F66" s="33"/>
      <c r="H66" s="91"/>
      <c r="I66" s="92"/>
      <c r="J66" s="92"/>
      <c r="K66" s="92"/>
      <c r="L66" s="92"/>
      <c r="M66" s="92"/>
      <c r="N66" s="92"/>
      <c r="O66" s="92"/>
      <c r="P66" s="92"/>
      <c r="Q66" s="92"/>
      <c r="R66" s="325">
        <f>R32*R49-R32*R49/5</f>
        <v>448371730.60671967</v>
      </c>
      <c r="S66" s="325">
        <f>S32*S49-S32*S49/5</f>
        <v>404379801.55199975</v>
      </c>
      <c r="T66" s="325">
        <f>T32*T49-T32*T49/5</f>
        <v>54705506.492639996</v>
      </c>
      <c r="U66" s="325">
        <f>U32*U49-U32*U49/5</f>
        <v>31581760.993728019</v>
      </c>
    </row>
    <row r="68" spans="1:22">
      <c r="C68" s="15" t="s">
        <v>824</v>
      </c>
    </row>
    <row r="69" spans="1:22" ht="29">
      <c r="A69" s="120" t="s">
        <v>825</v>
      </c>
      <c r="C69" s="300" t="s">
        <v>826</v>
      </c>
      <c r="D69" s="316">
        <v>0.1</v>
      </c>
    </row>
    <row r="70" spans="1:22" ht="29">
      <c r="C70" s="300" t="s">
        <v>827</v>
      </c>
      <c r="D70" s="1025">
        <f>D69*T65</f>
        <v>1367637.6623160001</v>
      </c>
    </row>
    <row r="72" spans="1:22">
      <c r="A72" s="120" t="s">
        <v>448</v>
      </c>
      <c r="C72" t="s">
        <v>828</v>
      </c>
    </row>
  </sheetData>
  <hyperlinks>
    <hyperlink ref="A38" r:id="rId1" display="https://ma-cantine-metabase.cleverapps.io/public/dashboard/3dab8a21-c4b9-46e1-84fa-7ba485ddfbbb" xr:uid="{06A99A7C-C166-4B76-A785-069FC000F38A}"/>
    <hyperlink ref="A51" r:id="rId2" display="https://www.abiodoc.com/actualite-de-la-bio/plateforme-ma-cantine-chiffres-2023" xr:uid="{0DAF1167-31E2-44A6-BB9D-FF164ED7C93C}"/>
    <hyperlink ref="A52" r:id="rId3" display="https://www.banquedesterritoires.fr/restauration-collective-275-de-produits-durables-et-de-qualite-en-2022" xr:uid="{EF50FC71-24AC-486E-A723-78A5E2260208}"/>
    <hyperlink ref="A53" r:id="rId4" display="https://www.agro-media.fr/dossier/restauration-collective-seduite-bio-25011.html" xr:uid="{5EA10359-DF13-45C7-AD5E-CE334C74E863}"/>
    <hyperlink ref="A55" r:id="rId5" location="_Toc505075113" display="https://www.assemblee-nationale.fr/dyn/15/textes/l15b0627_etude-impact - _Toc505075113" xr:uid="{FE1B15B5-4AF1-452E-913A-B043EFA4DF0C}"/>
    <hyperlink ref="A54" r:id="rId6" display="https://www.cnfpt.fr/sites/default/files/etude_sectorielle_restauration_2019_09_05.pdf" xr:uid="{38F91BBD-20B4-427A-AD4D-75AF4029AECD}"/>
    <hyperlink ref="A56" r:id="rId7" display="https://www.vegecantines.fr/media/files/AVF_Enquete-EGalim-menu-vege_Synthese_fev2024.pdf" xr:uid="{0E362718-389F-4E96-906E-1DAE5A967324}"/>
    <hyperlink ref="A57" r:id="rId8" display="https://ma-cantine.agriculture.gouv.fr/statistiques-regionales?year=2023" xr:uid="{B87ABFD2-55F3-474C-9EAC-7E65A0315B2A}"/>
    <hyperlink ref="A69" r:id="rId9" display="https://librairie.ademe.fr/ged/8202/RAPPORT-Etude-couts-restauration-scolaire-et-transition.pdf" xr:uid="{4E9D4676-0D31-46BC-B300-0B4725FEA994}"/>
    <hyperlink ref="A72" r:id="rId10" display="https://www.igf.finances.gouv.fr/files/live/sites/igf/files/contributed/Rapports de mission/2024/Masse salariale et achats des collectivit%C3%A9s territoriales.pdf" xr:uid="{04111BDC-CA87-4AA4-BFE0-8ED365B56D85}"/>
  </hyperlinks>
  <pageMargins left="0.7" right="0.7" top="0.75" bottom="0.75" header="0.3" footer="0.3"/>
  <drawing r:id="rId1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360AC-78AD-44D5-8668-65E6437A6331}">
  <dimension ref="A1:V49"/>
  <sheetViews>
    <sheetView workbookViewId="0"/>
  </sheetViews>
  <sheetFormatPr baseColWidth="10" defaultColWidth="11.453125" defaultRowHeight="14.5"/>
  <cols>
    <col min="8" max="15" width="14.453125" bestFit="1" customWidth="1"/>
    <col min="16" max="20" width="15.7265625" bestFit="1" customWidth="1"/>
  </cols>
  <sheetData>
    <row r="1" spans="1:20" ht="21">
      <c r="A1" s="95" t="s">
        <v>264</v>
      </c>
      <c r="B1" s="95" t="s">
        <v>265</v>
      </c>
      <c r="C1" s="1" t="s">
        <v>246</v>
      </c>
      <c r="H1" s="150">
        <v>2011</v>
      </c>
      <c r="I1" s="151">
        <v>2012</v>
      </c>
      <c r="J1" s="151">
        <v>2013</v>
      </c>
      <c r="K1" s="151">
        <v>2014</v>
      </c>
      <c r="L1" s="151">
        <v>2015</v>
      </c>
      <c r="M1" s="151">
        <v>2016</v>
      </c>
      <c r="N1" s="151">
        <v>2017</v>
      </c>
      <c r="O1" s="151">
        <v>2018</v>
      </c>
      <c r="P1" s="151">
        <v>2019</v>
      </c>
      <c r="Q1" s="151">
        <v>2020</v>
      </c>
      <c r="R1" s="151">
        <v>2021</v>
      </c>
      <c r="S1" s="151">
        <v>2022</v>
      </c>
      <c r="T1" s="152">
        <v>2023</v>
      </c>
    </row>
    <row r="3" spans="1:20">
      <c r="C3" s="7" t="s">
        <v>267</v>
      </c>
    </row>
    <row r="5" spans="1:20">
      <c r="C5" s="7" t="s">
        <v>269</v>
      </c>
    </row>
    <row r="16" spans="1:20">
      <c r="C16" t="s">
        <v>829</v>
      </c>
    </row>
    <row r="18" spans="1:22">
      <c r="A18" s="8"/>
      <c r="B18" s="8"/>
      <c r="C18" s="817" t="s">
        <v>792</v>
      </c>
      <c r="D18" s="8"/>
      <c r="E18" s="8"/>
      <c r="F18" s="8"/>
      <c r="G18" s="8"/>
      <c r="H18" s="8"/>
      <c r="I18" s="8"/>
      <c r="J18" s="8"/>
      <c r="K18" s="8"/>
      <c r="L18" s="8"/>
      <c r="M18" s="8"/>
      <c r="N18" s="8"/>
      <c r="O18" s="8"/>
      <c r="P18" s="10"/>
      <c r="Q18" s="8"/>
      <c r="R18" s="8"/>
      <c r="S18" s="8"/>
      <c r="T18" s="8"/>
    </row>
    <row r="20" spans="1:22">
      <c r="H20" s="667"/>
      <c r="I20" s="332"/>
      <c r="J20" s="332"/>
      <c r="K20" s="332"/>
      <c r="L20" s="332"/>
      <c r="M20" s="332"/>
      <c r="N20" s="668"/>
      <c r="O20" s="332"/>
      <c r="P20" s="332"/>
      <c r="Q20" s="332"/>
      <c r="R20" s="332"/>
      <c r="S20" s="332"/>
      <c r="T20" s="332"/>
      <c r="U20" s="332"/>
      <c r="V20" s="332"/>
    </row>
    <row r="21" spans="1:22">
      <c r="G21" s="15"/>
      <c r="H21" s="668"/>
      <c r="I21" s="668"/>
      <c r="J21" s="668"/>
      <c r="K21" s="668"/>
      <c r="L21" s="668"/>
      <c r="M21" s="668"/>
      <c r="N21" s="454"/>
      <c r="O21" s="454"/>
      <c r="P21" s="454"/>
      <c r="Q21" s="454"/>
      <c r="R21" s="454"/>
      <c r="S21" s="454"/>
      <c r="T21" s="454"/>
      <c r="U21" s="332"/>
      <c r="V21" s="332"/>
    </row>
    <row r="22" spans="1:22">
      <c r="A22" t="s">
        <v>541</v>
      </c>
      <c r="B22" s="102">
        <v>45811</v>
      </c>
      <c r="C22" s="672" t="s">
        <v>830</v>
      </c>
      <c r="D22" s="63"/>
      <c r="E22" s="63"/>
      <c r="F22" s="64"/>
      <c r="H22" s="154">
        <v>2011</v>
      </c>
      <c r="I22" s="155">
        <v>2012</v>
      </c>
      <c r="J22" s="155">
        <v>2013</v>
      </c>
      <c r="K22" s="155">
        <v>2014</v>
      </c>
      <c r="L22" s="155">
        <v>2015</v>
      </c>
      <c r="M22" s="155">
        <v>2016</v>
      </c>
      <c r="N22" s="12">
        <v>2017</v>
      </c>
      <c r="O22" s="12">
        <v>2018</v>
      </c>
      <c r="P22" s="12">
        <v>2019</v>
      </c>
      <c r="Q22" s="12">
        <v>2020</v>
      </c>
      <c r="R22" s="12">
        <v>2021</v>
      </c>
      <c r="S22" s="12">
        <v>2022</v>
      </c>
      <c r="T22" s="12">
        <v>2023</v>
      </c>
      <c r="U22" s="13">
        <v>2024</v>
      </c>
      <c r="V22" s="332"/>
    </row>
    <row r="23" spans="1:22">
      <c r="C23" s="304" t="s">
        <v>560</v>
      </c>
      <c r="F23" s="31"/>
      <c r="H23" s="673">
        <v>252062283.06999993</v>
      </c>
      <c r="I23" s="674">
        <v>264203289.55999988</v>
      </c>
      <c r="J23" s="674">
        <v>274482949.21000004</v>
      </c>
      <c r="K23" s="674">
        <v>279382821.23000014</v>
      </c>
      <c r="L23" s="674">
        <v>270173455.18000013</v>
      </c>
      <c r="M23" s="674">
        <v>280486982.06999999</v>
      </c>
      <c r="N23" s="674">
        <v>308806098.14000005</v>
      </c>
      <c r="O23" s="674">
        <v>306177957.92999995</v>
      </c>
      <c r="P23" s="674">
        <v>331270257.0399999</v>
      </c>
      <c r="Q23" s="674">
        <v>356416488.34000021</v>
      </c>
      <c r="R23" s="674">
        <v>415081636.53999966</v>
      </c>
      <c r="S23" s="674">
        <v>436079204.74999976</v>
      </c>
      <c r="T23" s="674">
        <v>380581810.61000001</v>
      </c>
      <c r="U23" s="675">
        <v>345904509.89000022</v>
      </c>
      <c r="V23" s="332"/>
    </row>
    <row r="24" spans="1:22">
      <c r="C24" s="71" t="s">
        <v>831</v>
      </c>
      <c r="F24" s="31"/>
      <c r="H24" s="676">
        <v>252062283.06999993</v>
      </c>
      <c r="I24" s="677">
        <v>264203289.55999988</v>
      </c>
      <c r="J24" s="677">
        <v>274482949.21000004</v>
      </c>
      <c r="K24" s="677">
        <v>279382821.23000014</v>
      </c>
      <c r="L24" s="677">
        <v>270173455.18000013</v>
      </c>
      <c r="M24" s="677">
        <v>280486982.06999999</v>
      </c>
      <c r="N24" s="677">
        <v>308806098.14000005</v>
      </c>
      <c r="O24" s="677">
        <v>305739281.30999994</v>
      </c>
      <c r="P24" s="677">
        <v>331159508.44999993</v>
      </c>
      <c r="Q24" s="677">
        <v>355995697.14000022</v>
      </c>
      <c r="R24" s="677">
        <v>413945756.17999965</v>
      </c>
      <c r="S24" s="677">
        <v>434248500.62999976</v>
      </c>
      <c r="T24" s="677">
        <v>373455276.06</v>
      </c>
      <c r="U24" s="678">
        <v>330277596.22000021</v>
      </c>
      <c r="V24" s="332"/>
    </row>
    <row r="25" spans="1:22">
      <c r="C25" s="71" t="s">
        <v>832</v>
      </c>
      <c r="F25" s="31"/>
      <c r="H25" s="676">
        <v>0</v>
      </c>
      <c r="I25" s="677">
        <v>0</v>
      </c>
      <c r="J25" s="677">
        <v>0</v>
      </c>
      <c r="K25" s="677">
        <v>0</v>
      </c>
      <c r="L25" s="677">
        <v>0</v>
      </c>
      <c r="M25" s="677">
        <v>0</v>
      </c>
      <c r="N25" s="677">
        <v>0</v>
      </c>
      <c r="O25" s="677">
        <v>438676.62000000011</v>
      </c>
      <c r="P25" s="677">
        <v>110748.59000000003</v>
      </c>
      <c r="Q25" s="677">
        <v>420791.20000000007</v>
      </c>
      <c r="R25" s="677">
        <v>1135880.3600000001</v>
      </c>
      <c r="S25" s="677">
        <v>1830704.12</v>
      </c>
      <c r="T25" s="677">
        <v>7126534.5500000017</v>
      </c>
      <c r="U25" s="678">
        <v>15626913.67</v>
      </c>
      <c r="V25" s="332"/>
    </row>
    <row r="26" spans="1:22">
      <c r="C26" s="304" t="s">
        <v>561</v>
      </c>
      <c r="F26" s="31"/>
      <c r="H26" s="679">
        <v>0</v>
      </c>
      <c r="I26" s="680">
        <v>0</v>
      </c>
      <c r="J26" s="680">
        <v>0</v>
      </c>
      <c r="K26" s="680">
        <v>0</v>
      </c>
      <c r="L26" s="680">
        <v>0</v>
      </c>
      <c r="M26" s="680">
        <v>0</v>
      </c>
      <c r="N26" s="680">
        <v>0</v>
      </c>
      <c r="O26" s="680">
        <v>0</v>
      </c>
      <c r="P26" s="680">
        <v>24673069.519999996</v>
      </c>
      <c r="Q26" s="680">
        <v>22736529.170000002</v>
      </c>
      <c r="R26" s="680">
        <v>20171245</v>
      </c>
      <c r="S26" s="680">
        <v>15471509.410000002</v>
      </c>
      <c r="T26" s="680">
        <v>13064738.429999998</v>
      </c>
      <c r="U26" s="681">
        <v>19234554.739999998</v>
      </c>
      <c r="V26" s="332"/>
    </row>
    <row r="27" spans="1:22">
      <c r="C27" s="71" t="s">
        <v>831</v>
      </c>
      <c r="F27" s="31"/>
      <c r="G27" s="15"/>
      <c r="H27" s="676">
        <v>0</v>
      </c>
      <c r="I27" s="677">
        <v>0</v>
      </c>
      <c r="J27" s="677">
        <v>0</v>
      </c>
      <c r="K27" s="677">
        <v>0</v>
      </c>
      <c r="L27" s="677">
        <v>0</v>
      </c>
      <c r="M27" s="677">
        <v>0</v>
      </c>
      <c r="N27" s="677">
        <v>0</v>
      </c>
      <c r="O27" s="677">
        <v>0</v>
      </c>
      <c r="P27" s="677">
        <v>23337728.889999997</v>
      </c>
      <c r="Q27" s="677">
        <v>20913996.850000001</v>
      </c>
      <c r="R27" s="677">
        <v>18371758.039999999</v>
      </c>
      <c r="S27" s="677">
        <v>14320052.110000001</v>
      </c>
      <c r="T27" s="677">
        <v>12124991.489999998</v>
      </c>
      <c r="U27" s="678">
        <v>17691256.18</v>
      </c>
      <c r="V27" s="332"/>
    </row>
    <row r="28" spans="1:22">
      <c r="C28" s="71" t="s">
        <v>832</v>
      </c>
      <c r="F28" s="31"/>
      <c r="H28" s="676">
        <v>0</v>
      </c>
      <c r="I28" s="677">
        <v>0</v>
      </c>
      <c r="J28" s="677">
        <v>0</v>
      </c>
      <c r="K28" s="677">
        <v>0</v>
      </c>
      <c r="L28" s="677">
        <v>0</v>
      </c>
      <c r="M28" s="677">
        <v>0</v>
      </c>
      <c r="N28" s="677">
        <v>0</v>
      </c>
      <c r="O28" s="677">
        <v>0</v>
      </c>
      <c r="P28" s="677">
        <v>1335340.6299999999</v>
      </c>
      <c r="Q28" s="677">
        <v>1822532.32</v>
      </c>
      <c r="R28" s="677">
        <v>1799486.96</v>
      </c>
      <c r="S28" s="677">
        <v>1151457.3</v>
      </c>
      <c r="T28" s="677">
        <v>939746.94</v>
      </c>
      <c r="U28" s="678">
        <v>1543298.56</v>
      </c>
      <c r="V28" s="332"/>
    </row>
    <row r="29" spans="1:22">
      <c r="C29" s="304" t="s">
        <v>345</v>
      </c>
      <c r="F29" s="31"/>
      <c r="H29" s="679">
        <v>73653774.289999992</v>
      </c>
      <c r="I29" s="680">
        <v>85037071.969999984</v>
      </c>
      <c r="J29" s="680">
        <v>86184841.029999986</v>
      </c>
      <c r="K29" s="680">
        <v>88100268.920000032</v>
      </c>
      <c r="L29" s="680">
        <v>93580619.490000024</v>
      </c>
      <c r="M29" s="680">
        <v>103567640.52000001</v>
      </c>
      <c r="N29" s="680">
        <v>121051954.18000002</v>
      </c>
      <c r="O29" s="680">
        <v>132941104.87999998</v>
      </c>
      <c r="P29" s="680">
        <v>142928693.20000002</v>
      </c>
      <c r="Q29" s="680">
        <v>165006389.67000005</v>
      </c>
      <c r="R29" s="680">
        <v>168364798.04999998</v>
      </c>
      <c r="S29" s="680">
        <v>167900203.55000001</v>
      </c>
      <c r="T29" s="680">
        <v>170358290.19000003</v>
      </c>
      <c r="U29" s="681">
        <v>167389758.72999999</v>
      </c>
      <c r="V29" s="332"/>
    </row>
    <row r="30" spans="1:22">
      <c r="C30" s="71" t="s">
        <v>831</v>
      </c>
      <c r="F30" s="31"/>
      <c r="H30" s="676">
        <v>73653774.289999992</v>
      </c>
      <c r="I30" s="677">
        <v>85037071.969999984</v>
      </c>
      <c r="J30" s="677">
        <v>86184841.029999986</v>
      </c>
      <c r="K30" s="677">
        <v>88100268.920000032</v>
      </c>
      <c r="L30" s="677">
        <v>93312451.560000017</v>
      </c>
      <c r="M30" s="677">
        <v>102495907.35000001</v>
      </c>
      <c r="N30" s="677">
        <v>119780703.66000003</v>
      </c>
      <c r="O30" s="677">
        <v>130883694.43999998</v>
      </c>
      <c r="P30" s="677">
        <v>140535300.85000002</v>
      </c>
      <c r="Q30" s="677">
        <v>161674981.46000004</v>
      </c>
      <c r="R30" s="677">
        <v>164536937.08999997</v>
      </c>
      <c r="S30" s="677">
        <v>163494807.92000002</v>
      </c>
      <c r="T30" s="677">
        <v>163723006.86000001</v>
      </c>
      <c r="U30" s="678">
        <v>157993267.03</v>
      </c>
      <c r="V30" s="332"/>
    </row>
    <row r="31" spans="1:22">
      <c r="C31" s="71" t="s">
        <v>832</v>
      </c>
      <c r="F31" s="31"/>
      <c r="H31" s="676">
        <v>0</v>
      </c>
      <c r="I31" s="677">
        <v>0</v>
      </c>
      <c r="J31" s="677">
        <v>0</v>
      </c>
      <c r="K31" s="677">
        <v>0</v>
      </c>
      <c r="L31" s="677">
        <v>268167.93</v>
      </c>
      <c r="M31" s="677">
        <v>1071733.17</v>
      </c>
      <c r="N31" s="677">
        <v>1271250.52</v>
      </c>
      <c r="O31" s="677">
        <v>2057410.4400000002</v>
      </c>
      <c r="P31" s="677">
        <v>2393392.350000001</v>
      </c>
      <c r="Q31" s="677">
        <v>3331408.21</v>
      </c>
      <c r="R31" s="677">
        <v>3827860.96</v>
      </c>
      <c r="S31" s="677">
        <v>4405395.63</v>
      </c>
      <c r="T31" s="677">
        <v>6635283.3300000001</v>
      </c>
      <c r="U31" s="678">
        <v>9396491.6999999993</v>
      </c>
      <c r="V31" s="332"/>
    </row>
    <row r="32" spans="1:22">
      <c r="C32" s="304" t="s">
        <v>562</v>
      </c>
      <c r="F32" s="31"/>
      <c r="H32" s="679">
        <v>0</v>
      </c>
      <c r="I32" s="680">
        <v>0</v>
      </c>
      <c r="J32" s="680">
        <v>0</v>
      </c>
      <c r="K32" s="680">
        <v>0</v>
      </c>
      <c r="L32" s="680">
        <v>0</v>
      </c>
      <c r="M32" s="680">
        <v>2895062.46</v>
      </c>
      <c r="N32" s="680">
        <v>2614326.5099999998</v>
      </c>
      <c r="O32" s="680">
        <v>2827778.36</v>
      </c>
      <c r="P32" s="680">
        <v>4380169.49</v>
      </c>
      <c r="Q32" s="680">
        <v>4549154.45</v>
      </c>
      <c r="R32" s="680">
        <v>4695883.17</v>
      </c>
      <c r="S32" s="680">
        <v>3824985.1700000004</v>
      </c>
      <c r="T32" s="680">
        <v>3668211.7199999997</v>
      </c>
      <c r="U32" s="681">
        <v>3021657.24</v>
      </c>
      <c r="V32" s="332"/>
    </row>
    <row r="33" spans="3:22">
      <c r="C33" s="71" t="s">
        <v>831</v>
      </c>
      <c r="F33" s="31"/>
      <c r="H33" s="676">
        <v>0</v>
      </c>
      <c r="I33" s="677">
        <v>0</v>
      </c>
      <c r="J33" s="677">
        <v>0</v>
      </c>
      <c r="K33" s="677">
        <v>0</v>
      </c>
      <c r="L33" s="677">
        <v>0</v>
      </c>
      <c r="M33" s="677">
        <v>2895062.46</v>
      </c>
      <c r="N33" s="677">
        <v>2614326.5099999998</v>
      </c>
      <c r="O33" s="677">
        <v>2827778.36</v>
      </c>
      <c r="P33" s="677">
        <v>4380169.49</v>
      </c>
      <c r="Q33" s="677">
        <v>4549154.45</v>
      </c>
      <c r="R33" s="677">
        <v>4695883.17</v>
      </c>
      <c r="S33" s="677">
        <v>3814364.4000000004</v>
      </c>
      <c r="T33" s="677">
        <v>3448592.42</v>
      </c>
      <c r="U33" s="678">
        <v>2872923.93</v>
      </c>
      <c r="V33" s="332"/>
    </row>
    <row r="34" spans="3:22">
      <c r="C34" s="71" t="s">
        <v>832</v>
      </c>
      <c r="F34" s="31"/>
      <c r="H34" s="676">
        <v>0</v>
      </c>
      <c r="I34" s="677">
        <v>0</v>
      </c>
      <c r="J34" s="677">
        <v>0</v>
      </c>
      <c r="K34" s="677">
        <v>0</v>
      </c>
      <c r="L34" s="677">
        <v>0</v>
      </c>
      <c r="M34" s="677">
        <v>0</v>
      </c>
      <c r="N34" s="677">
        <v>0</v>
      </c>
      <c r="O34" s="677">
        <v>0</v>
      </c>
      <c r="P34" s="677">
        <v>0</v>
      </c>
      <c r="Q34" s="677">
        <v>0</v>
      </c>
      <c r="R34" s="677">
        <v>0</v>
      </c>
      <c r="S34" s="677">
        <v>10620.77</v>
      </c>
      <c r="T34" s="677">
        <v>219619.3</v>
      </c>
      <c r="U34" s="678">
        <v>148733.31</v>
      </c>
      <c r="V34" s="332"/>
    </row>
    <row r="35" spans="3:22">
      <c r="C35" s="304" t="s">
        <v>346</v>
      </c>
      <c r="F35" s="31"/>
      <c r="H35" s="679">
        <v>21635384.52999999</v>
      </c>
      <c r="I35" s="680">
        <v>23950128.18</v>
      </c>
      <c r="J35" s="680">
        <v>23074777.529999997</v>
      </c>
      <c r="K35" s="680">
        <v>23636372.810000002</v>
      </c>
      <c r="L35" s="680">
        <v>22877426.010000002</v>
      </c>
      <c r="M35" s="680">
        <v>21954767.080000002</v>
      </c>
      <c r="N35" s="680">
        <v>26335950.75</v>
      </c>
      <c r="O35" s="680">
        <v>29799666.829999991</v>
      </c>
      <c r="P35" s="680">
        <v>38169608.999999985</v>
      </c>
      <c r="Q35" s="680">
        <v>49251777.50999999</v>
      </c>
      <c r="R35" s="680">
        <v>45192652.949999981</v>
      </c>
      <c r="S35" s="680">
        <v>44687903.879999988</v>
      </c>
      <c r="T35" s="680">
        <v>56767180.279999994</v>
      </c>
      <c r="U35" s="681">
        <v>38223748.109999999</v>
      </c>
      <c r="V35" s="332"/>
    </row>
    <row r="36" spans="3:22">
      <c r="C36" s="71" t="s">
        <v>831</v>
      </c>
      <c r="F36" s="31"/>
      <c r="H36" s="676">
        <v>21624469.84999999</v>
      </c>
      <c r="I36" s="677">
        <v>23803349.210000001</v>
      </c>
      <c r="J36" s="677">
        <v>23030877.189999998</v>
      </c>
      <c r="K36" s="677">
        <v>23546634.300000001</v>
      </c>
      <c r="L36" s="677">
        <v>22852732.09</v>
      </c>
      <c r="M36" s="677">
        <v>21917826.550000001</v>
      </c>
      <c r="N36" s="677">
        <v>26270846.530000001</v>
      </c>
      <c r="O36" s="677">
        <v>29699232.59999999</v>
      </c>
      <c r="P36" s="677">
        <v>38050236.559999987</v>
      </c>
      <c r="Q36" s="677">
        <v>48238305.019999988</v>
      </c>
      <c r="R36" s="677">
        <v>44999117.689999983</v>
      </c>
      <c r="S36" s="677">
        <v>44306698.099999987</v>
      </c>
      <c r="T36" s="677">
        <v>54878197.969999991</v>
      </c>
      <c r="U36" s="678">
        <v>37213732.460000001</v>
      </c>
    </row>
    <row r="37" spans="3:22">
      <c r="C37" s="71" t="s">
        <v>832</v>
      </c>
      <c r="F37" s="31"/>
      <c r="H37" s="676">
        <v>10914.680000000022</v>
      </c>
      <c r="I37" s="677">
        <v>146778.97</v>
      </c>
      <c r="J37" s="677">
        <v>43900.34</v>
      </c>
      <c r="K37" s="677">
        <v>89738.510000000038</v>
      </c>
      <c r="L37" s="677">
        <v>24693.919999999998</v>
      </c>
      <c r="M37" s="677">
        <v>36940.53</v>
      </c>
      <c r="N37" s="677">
        <v>65104.220000000023</v>
      </c>
      <c r="O37" s="677">
        <v>100434.23000000001</v>
      </c>
      <c r="P37" s="677">
        <v>119372.44</v>
      </c>
      <c r="Q37" s="677">
        <v>1013472.49</v>
      </c>
      <c r="R37" s="677">
        <v>193535.26000000004</v>
      </c>
      <c r="S37" s="677">
        <v>381205.77999999997</v>
      </c>
      <c r="T37" s="677">
        <v>1888982.3099999998</v>
      </c>
      <c r="U37" s="678">
        <v>1010015.65</v>
      </c>
    </row>
    <row r="38" spans="3:22">
      <c r="C38" s="304" t="s">
        <v>563</v>
      </c>
      <c r="F38" s="31"/>
      <c r="H38" s="679">
        <v>162515803.72</v>
      </c>
      <c r="I38" s="680">
        <v>181689049.16</v>
      </c>
      <c r="J38" s="680">
        <v>178315779.33000001</v>
      </c>
      <c r="K38" s="680">
        <v>188102801.16</v>
      </c>
      <c r="L38" s="680">
        <v>188686388.92999998</v>
      </c>
      <c r="M38" s="680">
        <v>193063897.74999997</v>
      </c>
      <c r="N38" s="680">
        <v>226111544.83999997</v>
      </c>
      <c r="O38" s="680">
        <v>253666271.02000004</v>
      </c>
      <c r="P38" s="680">
        <v>240572388.88999996</v>
      </c>
      <c r="Q38" s="680">
        <v>288936338.67000002</v>
      </c>
      <c r="R38" s="680">
        <v>326707966.44999999</v>
      </c>
      <c r="S38" s="680">
        <v>343865547.24000001</v>
      </c>
      <c r="T38" s="680">
        <v>367975600.38999999</v>
      </c>
      <c r="U38" s="681">
        <v>292301211.67000002</v>
      </c>
    </row>
    <row r="39" spans="3:22">
      <c r="C39" s="71" t="s">
        <v>831</v>
      </c>
      <c r="F39" s="31"/>
      <c r="H39" s="676">
        <v>151761013.94</v>
      </c>
      <c r="I39" s="677">
        <v>168882974.28</v>
      </c>
      <c r="J39" s="677">
        <v>168673501.67000002</v>
      </c>
      <c r="K39" s="677">
        <v>179827818.38</v>
      </c>
      <c r="L39" s="677">
        <v>181051939.10999998</v>
      </c>
      <c r="M39" s="677">
        <v>185471945.57999998</v>
      </c>
      <c r="N39" s="677">
        <v>216897163.70999998</v>
      </c>
      <c r="O39" s="677">
        <v>243803090.49000004</v>
      </c>
      <c r="P39" s="677">
        <v>226677712.04999995</v>
      </c>
      <c r="Q39" s="677">
        <v>276456023.93000001</v>
      </c>
      <c r="R39" s="677">
        <v>313514533.5</v>
      </c>
      <c r="S39" s="677">
        <v>328960579.21000004</v>
      </c>
      <c r="T39" s="677">
        <v>351843033.19</v>
      </c>
      <c r="U39" s="678">
        <v>279100023.81999999</v>
      </c>
    </row>
    <row r="40" spans="3:22">
      <c r="C40" s="71" t="s">
        <v>832</v>
      </c>
      <c r="F40" s="31"/>
      <c r="H40" s="676">
        <v>10754789.779999999</v>
      </c>
      <c r="I40" s="677">
        <v>12806074.880000001</v>
      </c>
      <c r="J40" s="677">
        <v>9642277.6600000001</v>
      </c>
      <c r="K40" s="677">
        <v>8274982.7799999993</v>
      </c>
      <c r="L40" s="677">
        <v>7634449.8199999994</v>
      </c>
      <c r="M40" s="677">
        <v>7591952.1699999999</v>
      </c>
      <c r="N40" s="677">
        <v>9214381.129999999</v>
      </c>
      <c r="O40" s="677">
        <v>9863180.5299999993</v>
      </c>
      <c r="P40" s="677">
        <v>13894676.84</v>
      </c>
      <c r="Q40" s="677">
        <v>12480314.74</v>
      </c>
      <c r="R40" s="677">
        <v>13193432.950000001</v>
      </c>
      <c r="S40" s="677">
        <v>14904968.030000001</v>
      </c>
      <c r="T40" s="677">
        <v>16132567.200000001</v>
      </c>
      <c r="U40" s="678">
        <v>13201187.850000001</v>
      </c>
    </row>
    <row r="41" spans="3:22">
      <c r="C41" s="304" t="s">
        <v>564</v>
      </c>
      <c r="F41" s="31"/>
      <c r="H41" s="679">
        <v>120216503.74000001</v>
      </c>
      <c r="I41" s="680">
        <v>129193189.03</v>
      </c>
      <c r="J41" s="680">
        <v>123829126.71999998</v>
      </c>
      <c r="K41" s="680">
        <v>148047763.20999998</v>
      </c>
      <c r="L41" s="680">
        <v>132434046.86</v>
      </c>
      <c r="M41" s="680">
        <v>121570534.94</v>
      </c>
      <c r="N41" s="680">
        <v>132324292.02000001</v>
      </c>
      <c r="O41" s="680">
        <v>142484304.60999998</v>
      </c>
      <c r="P41" s="680">
        <v>270830437.26000011</v>
      </c>
      <c r="Q41" s="680">
        <v>261082936.81999999</v>
      </c>
      <c r="R41" s="680">
        <v>342086646.23000002</v>
      </c>
      <c r="S41" s="680">
        <v>329956271.00999999</v>
      </c>
      <c r="T41" s="680">
        <v>327647006.90000004</v>
      </c>
      <c r="U41" s="681">
        <v>327264850.98999995</v>
      </c>
    </row>
    <row r="42" spans="3:22">
      <c r="C42" s="71" t="s">
        <v>831</v>
      </c>
      <c r="F42" s="31"/>
      <c r="H42" s="676">
        <v>115412597.75000001</v>
      </c>
      <c r="I42" s="677">
        <v>125682010.11</v>
      </c>
      <c r="J42" s="677">
        <v>120361704.64999999</v>
      </c>
      <c r="K42" s="677">
        <v>144311941.69999999</v>
      </c>
      <c r="L42" s="677">
        <v>131132816.94</v>
      </c>
      <c r="M42" s="677">
        <v>119509847.31</v>
      </c>
      <c r="N42" s="677">
        <v>127383311.86000001</v>
      </c>
      <c r="O42" s="677">
        <v>136501645.38</v>
      </c>
      <c r="P42" s="677">
        <v>264433104.26000011</v>
      </c>
      <c r="Q42" s="677">
        <v>257048282.31999999</v>
      </c>
      <c r="R42" s="677">
        <v>338256725.80000001</v>
      </c>
      <c r="S42" s="677">
        <v>325384327.51999998</v>
      </c>
      <c r="T42" s="677">
        <v>322980048.80000001</v>
      </c>
      <c r="U42" s="678">
        <v>321913187.02999997</v>
      </c>
    </row>
    <row r="43" spans="3:22">
      <c r="C43" s="71" t="s">
        <v>832</v>
      </c>
      <c r="F43" s="31"/>
      <c r="H43" s="676">
        <v>4803905.99</v>
      </c>
      <c r="I43" s="677">
        <v>3511178.919999999</v>
      </c>
      <c r="J43" s="677">
        <v>3467422.07</v>
      </c>
      <c r="K43" s="677">
        <v>3735821.51</v>
      </c>
      <c r="L43" s="677">
        <v>1301229.92</v>
      </c>
      <c r="M43" s="677">
        <v>2060687.63</v>
      </c>
      <c r="N43" s="677">
        <v>4940980.16</v>
      </c>
      <c r="O43" s="677">
        <v>5982659.2300000004</v>
      </c>
      <c r="P43" s="677">
        <v>6397333</v>
      </c>
      <c r="Q43" s="677">
        <v>4034654.5000000009</v>
      </c>
      <c r="R43" s="677">
        <v>3829920.4299999997</v>
      </c>
      <c r="S43" s="677">
        <v>4571943.49</v>
      </c>
      <c r="T43" s="677">
        <v>4666958.0999999996</v>
      </c>
      <c r="U43" s="678">
        <v>5351663.96</v>
      </c>
    </row>
    <row r="44" spans="3:22">
      <c r="C44" s="304" t="s">
        <v>565</v>
      </c>
      <c r="F44" s="31"/>
      <c r="H44" s="679">
        <v>0</v>
      </c>
      <c r="I44" s="680">
        <v>0</v>
      </c>
      <c r="J44" s="680">
        <v>0</v>
      </c>
      <c r="K44" s="680">
        <v>0</v>
      </c>
      <c r="L44" s="680">
        <v>0</v>
      </c>
      <c r="M44" s="680">
        <v>2082432.2999999998</v>
      </c>
      <c r="N44" s="680">
        <v>2033311.89</v>
      </c>
      <c r="O44" s="680">
        <v>3993849.39</v>
      </c>
      <c r="P44" s="680">
        <v>4598038.6399999997</v>
      </c>
      <c r="Q44" s="680">
        <v>4440297.16</v>
      </c>
      <c r="R44" s="680">
        <v>12527443.670000002</v>
      </c>
      <c r="S44" s="680">
        <v>12692496.689999999</v>
      </c>
      <c r="T44" s="680">
        <v>24485140.710000001</v>
      </c>
      <c r="U44" s="681">
        <v>18398498.48</v>
      </c>
    </row>
    <row r="45" spans="3:22">
      <c r="C45" s="71" t="s">
        <v>831</v>
      </c>
      <c r="F45" s="31"/>
      <c r="H45" s="676">
        <v>0</v>
      </c>
      <c r="I45" s="677">
        <v>0</v>
      </c>
      <c r="J45" s="677">
        <v>0</v>
      </c>
      <c r="K45" s="677">
        <v>0</v>
      </c>
      <c r="L45" s="677">
        <v>0</v>
      </c>
      <c r="M45" s="677">
        <v>2017132.14</v>
      </c>
      <c r="N45" s="677">
        <v>1994575.95</v>
      </c>
      <c r="O45" s="677">
        <v>3883737.91</v>
      </c>
      <c r="P45" s="677">
        <v>4595186.18</v>
      </c>
      <c r="Q45" s="677">
        <v>4430833.76</v>
      </c>
      <c r="R45" s="677">
        <v>12216983.780000001</v>
      </c>
      <c r="S45" s="677">
        <v>12258093.039999999</v>
      </c>
      <c r="T45" s="677">
        <v>24349580.789999999</v>
      </c>
      <c r="U45" s="678">
        <v>18299476.02</v>
      </c>
    </row>
    <row r="46" spans="3:22">
      <c r="C46" s="71" t="s">
        <v>832</v>
      </c>
      <c r="F46" s="31"/>
      <c r="H46" s="676">
        <v>0</v>
      </c>
      <c r="I46" s="677">
        <v>0</v>
      </c>
      <c r="J46" s="677">
        <v>0</v>
      </c>
      <c r="K46" s="677">
        <v>0</v>
      </c>
      <c r="L46" s="677">
        <v>0</v>
      </c>
      <c r="M46" s="677">
        <v>65300.160000000003</v>
      </c>
      <c r="N46" s="677">
        <v>38735.94</v>
      </c>
      <c r="O46" s="677">
        <v>110111.48</v>
      </c>
      <c r="P46" s="677">
        <v>2852.46</v>
      </c>
      <c r="Q46" s="677">
        <v>9463.4</v>
      </c>
      <c r="R46" s="677">
        <v>310459.89</v>
      </c>
      <c r="S46" s="677">
        <v>434403.65</v>
      </c>
      <c r="T46" s="677">
        <v>135559.92000000001</v>
      </c>
      <c r="U46" s="678">
        <v>99022.46</v>
      </c>
    </row>
    <row r="47" spans="3:22">
      <c r="C47" s="671" t="s">
        <v>324</v>
      </c>
      <c r="D47" s="70"/>
      <c r="E47" s="70"/>
      <c r="F47" s="29"/>
      <c r="H47" s="688">
        <v>630083749.35000002</v>
      </c>
      <c r="I47" s="689">
        <v>684072727.89999986</v>
      </c>
      <c r="J47" s="689">
        <v>685887473.82000005</v>
      </c>
      <c r="K47" s="689">
        <v>727270027.33000016</v>
      </c>
      <c r="L47" s="689">
        <v>707751936.47000015</v>
      </c>
      <c r="M47" s="689">
        <v>725621317.11999989</v>
      </c>
      <c r="N47" s="689">
        <v>819277478.33000004</v>
      </c>
      <c r="O47" s="689">
        <v>871890933.01999998</v>
      </c>
      <c r="P47" s="689">
        <v>1057422663.04</v>
      </c>
      <c r="Q47" s="689">
        <v>1152419911.7900004</v>
      </c>
      <c r="R47" s="689">
        <v>1334828272.0599997</v>
      </c>
      <c r="S47" s="689">
        <v>1354478121.6999998</v>
      </c>
      <c r="T47" s="689">
        <v>1344547979.23</v>
      </c>
      <c r="U47" s="690">
        <v>1211738789.8500004</v>
      </c>
    </row>
    <row r="48" spans="3:22">
      <c r="C48" s="669" t="s">
        <v>831</v>
      </c>
      <c r="F48" s="31"/>
      <c r="H48" s="682">
        <v>614514138.89999986</v>
      </c>
      <c r="I48" s="683">
        <v>667608695.12999988</v>
      </c>
      <c r="J48" s="683">
        <v>672733873.75</v>
      </c>
      <c r="K48" s="683">
        <v>715169484.53000021</v>
      </c>
      <c r="L48" s="683">
        <v>698523394.88000011</v>
      </c>
      <c r="M48" s="683">
        <v>714794703.45999992</v>
      </c>
      <c r="N48" s="683">
        <v>803747026.36000001</v>
      </c>
      <c r="O48" s="683">
        <v>853338460.48999989</v>
      </c>
      <c r="P48" s="683">
        <v>1033168946.7299999</v>
      </c>
      <c r="Q48" s="683">
        <v>1129307274.9300003</v>
      </c>
      <c r="R48" s="683">
        <v>1310537695.2499995</v>
      </c>
      <c r="S48" s="683">
        <v>1326787422.9299998</v>
      </c>
      <c r="T48" s="683">
        <v>1306802727.5799999</v>
      </c>
      <c r="U48" s="684">
        <v>1165361462.6900001</v>
      </c>
    </row>
    <row r="49" spans="3:21">
      <c r="C49" s="670" t="s">
        <v>832</v>
      </c>
      <c r="D49" s="92"/>
      <c r="E49" s="92"/>
      <c r="F49" s="33"/>
      <c r="H49" s="685">
        <v>15569610.449999999</v>
      </c>
      <c r="I49" s="686">
        <v>16464032.77</v>
      </c>
      <c r="J49" s="686">
        <v>13153600.07</v>
      </c>
      <c r="K49" s="686">
        <v>12100542.799999999</v>
      </c>
      <c r="L49" s="686">
        <v>9228541.5899999999</v>
      </c>
      <c r="M49" s="686">
        <v>10826613.66</v>
      </c>
      <c r="N49" s="686">
        <v>15530451.969999999</v>
      </c>
      <c r="O49" s="686">
        <v>18552472.530000001</v>
      </c>
      <c r="P49" s="686">
        <v>24253716.310000002</v>
      </c>
      <c r="Q49" s="686">
        <v>23112636.859999999</v>
      </c>
      <c r="R49" s="686">
        <v>24290576.810000002</v>
      </c>
      <c r="S49" s="686">
        <v>27690698.770000003</v>
      </c>
      <c r="T49" s="686">
        <v>37745251.650000006</v>
      </c>
      <c r="U49" s="687">
        <v>46377327.159999996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EC4FD-CCB7-4EB6-B897-A35725B6983E}">
  <sheetPr>
    <pageSetUpPr fitToPage="1"/>
  </sheetPr>
  <dimension ref="B3:O74"/>
  <sheetViews>
    <sheetView zoomScale="20" workbookViewId="0">
      <selection activeCell="J32" sqref="J32"/>
    </sheetView>
  </sheetViews>
  <sheetFormatPr baseColWidth="10" defaultColWidth="11.453125" defaultRowHeight="14.5"/>
  <cols>
    <col min="2" max="2" width="0" hidden="1" customWidth="1"/>
    <col min="3" max="3" width="13.26953125" hidden="1" customWidth="1"/>
    <col min="4" max="4" width="27" customWidth="1"/>
    <col min="5" max="5" width="46.81640625" customWidth="1"/>
    <col min="6" max="6" width="27.54296875" customWidth="1"/>
    <col min="7" max="7" width="29.81640625" customWidth="1"/>
    <col min="8" max="8" width="38.453125" customWidth="1"/>
    <col min="9" max="9" width="33.54296875" customWidth="1"/>
    <col min="10" max="10" width="32.54296875" customWidth="1"/>
  </cols>
  <sheetData>
    <row r="3" spans="2:15" ht="18">
      <c r="B3" s="15" t="s">
        <v>0</v>
      </c>
      <c r="C3" s="76"/>
      <c r="D3" s="15" t="s">
        <v>1</v>
      </c>
      <c r="J3" s="15" t="s">
        <v>2</v>
      </c>
    </row>
    <row r="4" spans="2:15">
      <c r="B4" s="1551" t="s">
        <v>3</v>
      </c>
      <c r="C4" s="1569" t="s">
        <v>4</v>
      </c>
      <c r="D4" s="365" t="s">
        <v>5</v>
      </c>
      <c r="E4" s="1572" t="s">
        <v>6</v>
      </c>
      <c r="F4" s="1575" t="s">
        <v>7</v>
      </c>
      <c r="G4" s="1578" t="s">
        <v>8</v>
      </c>
      <c r="J4" s="88" t="s">
        <v>9</v>
      </c>
      <c r="K4" s="69" t="s">
        <v>10</v>
      </c>
      <c r="L4" s="70"/>
      <c r="M4" s="70"/>
      <c r="N4" s="70"/>
      <c r="O4" s="29"/>
    </row>
    <row r="5" spans="2:15">
      <c r="B5" s="1552"/>
      <c r="C5" s="1570"/>
      <c r="D5" s="366" t="s">
        <v>11</v>
      </c>
      <c r="E5" s="1573"/>
      <c r="F5" s="1576"/>
      <c r="G5" s="1579"/>
      <c r="J5" s="89" t="s">
        <v>12</v>
      </c>
      <c r="K5" s="71" t="s">
        <v>13</v>
      </c>
      <c r="O5" s="31"/>
    </row>
    <row r="6" spans="2:15" ht="15" thickBot="1">
      <c r="B6" s="1552"/>
      <c r="C6" s="1571"/>
      <c r="D6" s="367"/>
      <c r="E6" s="1574"/>
      <c r="F6" s="1577"/>
      <c r="G6" s="1580"/>
      <c r="J6" s="89" t="s">
        <v>14</v>
      </c>
      <c r="K6" s="71" t="s">
        <v>15</v>
      </c>
      <c r="O6" s="31"/>
    </row>
    <row r="7" spans="2:15" ht="29.15" customHeight="1">
      <c r="B7" s="1552"/>
      <c r="C7" s="1560" t="s">
        <v>16</v>
      </c>
      <c r="D7" s="1562" t="s">
        <v>17</v>
      </c>
      <c r="E7" s="1563" t="s">
        <v>18</v>
      </c>
      <c r="F7" s="1564" t="s">
        <v>19</v>
      </c>
      <c r="G7" s="1565" t="s">
        <v>20</v>
      </c>
      <c r="J7" s="89" t="s">
        <v>21</v>
      </c>
      <c r="K7" s="71" t="s">
        <v>22</v>
      </c>
      <c r="O7" s="31"/>
    </row>
    <row r="8" spans="2:15">
      <c r="B8" s="1552"/>
      <c r="C8" s="1561"/>
      <c r="D8" s="1555"/>
      <c r="E8" s="1556"/>
      <c r="F8" s="1557"/>
      <c r="G8" s="1554"/>
      <c r="J8" s="89" t="s">
        <v>23</v>
      </c>
      <c r="K8" s="71" t="s">
        <v>24</v>
      </c>
      <c r="O8" s="31"/>
    </row>
    <row r="9" spans="2:15" ht="59.15" customHeight="1" thickBot="1">
      <c r="B9" s="1552"/>
      <c r="C9" s="1561"/>
      <c r="D9" s="1555" t="s">
        <v>25</v>
      </c>
      <c r="E9" s="1556" t="s">
        <v>26</v>
      </c>
      <c r="F9" s="1557" t="s">
        <v>27</v>
      </c>
      <c r="G9" s="1554" t="s">
        <v>28</v>
      </c>
      <c r="J9" s="89" t="s">
        <v>29</v>
      </c>
      <c r="K9" s="71" t="s">
        <v>30</v>
      </c>
      <c r="O9" s="31"/>
    </row>
    <row r="10" spans="2:15" ht="15" hidden="1" thickBot="1">
      <c r="B10" s="1552"/>
      <c r="C10" s="1567"/>
      <c r="D10" s="1568"/>
      <c r="E10" s="1566"/>
      <c r="F10" s="1558"/>
      <c r="G10" s="1559"/>
      <c r="J10" s="89" t="s">
        <v>31</v>
      </c>
      <c r="K10" s="71" t="s">
        <v>32</v>
      </c>
      <c r="O10" s="31"/>
    </row>
    <row r="11" spans="2:15" ht="48" customHeight="1">
      <c r="B11" s="1552"/>
      <c r="C11" s="1560" t="s">
        <v>33</v>
      </c>
      <c r="D11" s="1562" t="s">
        <v>34</v>
      </c>
      <c r="E11" s="1563" t="s">
        <v>35</v>
      </c>
      <c r="F11" s="1564" t="s">
        <v>36</v>
      </c>
      <c r="G11" s="1565" t="s">
        <v>19</v>
      </c>
      <c r="J11" s="89" t="s">
        <v>37</v>
      </c>
      <c r="K11" s="71" t="s">
        <v>38</v>
      </c>
      <c r="O11" s="31"/>
    </row>
    <row r="12" spans="2:15">
      <c r="B12" s="1552"/>
      <c r="C12" s="1561"/>
      <c r="D12" s="1555"/>
      <c r="E12" s="1556"/>
      <c r="F12" s="1557"/>
      <c r="G12" s="1554"/>
      <c r="J12" s="89" t="s">
        <v>39</v>
      </c>
      <c r="K12" s="71" t="s">
        <v>40</v>
      </c>
      <c r="O12" s="31"/>
    </row>
    <row r="13" spans="2:15" ht="56.5" customHeight="1">
      <c r="B13" s="1552"/>
      <c r="C13" s="1561"/>
      <c r="D13" s="1555" t="s">
        <v>41</v>
      </c>
      <c r="E13" s="1556" t="s">
        <v>42</v>
      </c>
      <c r="F13" s="1557" t="s">
        <v>43</v>
      </c>
      <c r="G13" s="1554" t="s">
        <v>44</v>
      </c>
      <c r="J13" s="90" t="s">
        <v>45</v>
      </c>
      <c r="K13" s="91" t="s">
        <v>46</v>
      </c>
      <c r="L13" s="92"/>
      <c r="M13" s="92"/>
      <c r="N13" s="92"/>
      <c r="O13" s="33"/>
    </row>
    <row r="14" spans="2:15" ht="15" thickBot="1">
      <c r="B14" s="1552"/>
      <c r="C14" s="1567"/>
      <c r="D14" s="1568"/>
      <c r="E14" s="1566"/>
      <c r="F14" s="1558"/>
      <c r="G14" s="1559"/>
    </row>
    <row r="15" spans="2:15" ht="36.65" customHeight="1">
      <c r="B15" s="1552"/>
      <c r="C15" s="1560" t="s">
        <v>47</v>
      </c>
      <c r="D15" s="1562" t="s">
        <v>48</v>
      </c>
      <c r="E15" s="1563" t="s">
        <v>49</v>
      </c>
      <c r="F15" s="1564" t="s">
        <v>19</v>
      </c>
      <c r="G15" s="1565" t="s">
        <v>19</v>
      </c>
    </row>
    <row r="16" spans="2:15">
      <c r="B16" s="1552"/>
      <c r="C16" s="1561"/>
      <c r="D16" s="1555"/>
      <c r="E16" s="1556"/>
      <c r="F16" s="1557"/>
      <c r="G16" s="1554"/>
    </row>
    <row r="17" spans="2:10" ht="14.15" customHeight="1">
      <c r="B17" s="1552"/>
      <c r="C17" s="1561"/>
      <c r="D17" s="1555" t="s">
        <v>50</v>
      </c>
      <c r="E17" s="1556" t="s">
        <v>51</v>
      </c>
      <c r="F17" s="1557" t="s">
        <v>19</v>
      </c>
      <c r="G17" s="1554" t="s">
        <v>19</v>
      </c>
    </row>
    <row r="18" spans="2:10">
      <c r="B18" s="1552"/>
      <c r="C18" s="1561"/>
      <c r="D18" s="1555"/>
      <c r="E18" s="1556"/>
      <c r="F18" s="1557"/>
      <c r="G18" s="1554"/>
    </row>
    <row r="19" spans="2:10">
      <c r="B19" s="1552"/>
      <c r="C19" s="1561"/>
      <c r="D19" s="1555" t="s">
        <v>52</v>
      </c>
      <c r="E19" s="1556" t="s">
        <v>53</v>
      </c>
      <c r="F19" s="79" t="s">
        <v>54</v>
      </c>
      <c r="G19" s="1554" t="s">
        <v>19</v>
      </c>
    </row>
    <row r="20" spans="2:10">
      <c r="B20" s="1552"/>
      <c r="C20" s="1561"/>
      <c r="D20" s="1555"/>
      <c r="E20" s="1556"/>
      <c r="F20" s="77"/>
      <c r="G20" s="1554"/>
    </row>
    <row r="21" spans="2:10">
      <c r="B21" s="1552"/>
      <c r="C21" s="1561"/>
      <c r="D21" s="1555"/>
      <c r="E21" s="1556"/>
      <c r="F21" s="79" t="s">
        <v>55</v>
      </c>
      <c r="G21" s="1554"/>
    </row>
    <row r="22" spans="2:10">
      <c r="B22" s="1552"/>
      <c r="C22" s="1561"/>
      <c r="D22" s="1555"/>
      <c r="E22" s="1556"/>
      <c r="F22" s="78"/>
      <c r="G22" s="1554"/>
    </row>
    <row r="23" spans="2:10" ht="29.15" customHeight="1">
      <c r="B23" s="1552"/>
      <c r="C23" s="1561"/>
      <c r="D23" s="1555" t="s">
        <v>56</v>
      </c>
      <c r="E23" s="1556" t="s">
        <v>57</v>
      </c>
      <c r="F23" s="1557" t="s">
        <v>58</v>
      </c>
      <c r="G23" s="368" t="s">
        <v>59</v>
      </c>
    </row>
    <row r="24" spans="2:10">
      <c r="B24" s="1552"/>
      <c r="C24" s="1561"/>
      <c r="D24" s="1555"/>
      <c r="E24" s="1556"/>
      <c r="F24" s="1557"/>
      <c r="G24" s="369"/>
    </row>
    <row r="25" spans="2:10">
      <c r="B25" s="1552"/>
      <c r="C25" s="1561"/>
      <c r="D25" s="1555"/>
      <c r="E25" s="1556"/>
      <c r="F25" s="1557"/>
      <c r="G25" s="368" t="s">
        <v>60</v>
      </c>
    </row>
    <row r="26" spans="2:10">
      <c r="B26" s="1553"/>
      <c r="C26" s="1561"/>
      <c r="D26" s="1555"/>
      <c r="E26" s="1556"/>
      <c r="F26" s="1557"/>
      <c r="G26" s="370"/>
    </row>
    <row r="27" spans="2:10" ht="83.5">
      <c r="B27" s="81" t="s">
        <v>61</v>
      </c>
      <c r="C27" s="82" t="s">
        <v>62</v>
      </c>
      <c r="D27" s="82" t="s">
        <v>63</v>
      </c>
      <c r="E27" s="83"/>
      <c r="F27" s="84" t="s">
        <v>64</v>
      </c>
      <c r="G27" s="93" t="s">
        <v>65</v>
      </c>
    </row>
    <row r="28" spans="2:10">
      <c r="B28" s="148"/>
      <c r="C28" s="149"/>
      <c r="D28" s="149"/>
      <c r="E28" s="146"/>
      <c r="F28" s="146"/>
      <c r="G28" s="147"/>
    </row>
    <row r="29" spans="2:10">
      <c r="B29" s="148"/>
      <c r="C29" s="149"/>
      <c r="D29" s="149"/>
      <c r="E29" s="146"/>
      <c r="F29" s="146"/>
      <c r="G29" s="147"/>
    </row>
    <row r="30" spans="2:10">
      <c r="B30" s="15" t="s">
        <v>66</v>
      </c>
      <c r="D30" s="15" t="s">
        <v>67</v>
      </c>
      <c r="I30" s="15" t="s">
        <v>68</v>
      </c>
      <c r="J30" t="s">
        <v>69</v>
      </c>
    </row>
    <row r="31" spans="2:10" ht="195.65" customHeight="1">
      <c r="B31" s="132" t="s">
        <v>70</v>
      </c>
      <c r="C31" s="133" t="s">
        <v>71</v>
      </c>
      <c r="D31" s="219" t="s">
        <v>17</v>
      </c>
      <c r="E31" s="135" t="s">
        <v>72</v>
      </c>
      <c r="F31" s="134" t="s">
        <v>73</v>
      </c>
      <c r="G31" s="133" t="s">
        <v>74</v>
      </c>
      <c r="H31" s="123" t="s">
        <v>75</v>
      </c>
      <c r="I31" s="226"/>
      <c r="J31" s="232"/>
    </row>
    <row r="32" spans="2:10" ht="65">
      <c r="B32" s="121" t="s">
        <v>70</v>
      </c>
      <c r="C32" s="136" t="s">
        <v>71</v>
      </c>
      <c r="D32" s="220" t="s">
        <v>17</v>
      </c>
      <c r="E32" s="207" t="s">
        <v>76</v>
      </c>
      <c r="F32" s="211">
        <v>1</v>
      </c>
      <c r="G32" s="136" t="s">
        <v>74</v>
      </c>
      <c r="H32" s="122" t="s">
        <v>77</v>
      </c>
      <c r="I32" s="237"/>
      <c r="J32" s="231"/>
    </row>
    <row r="33" spans="2:10" ht="52">
      <c r="B33" s="121" t="s">
        <v>78</v>
      </c>
      <c r="C33" s="136" t="s">
        <v>71</v>
      </c>
      <c r="D33" s="220" t="s">
        <v>79</v>
      </c>
      <c r="E33" s="212" t="s">
        <v>80</v>
      </c>
      <c r="F33" s="211">
        <v>1</v>
      </c>
      <c r="G33" s="213" t="s">
        <v>74</v>
      </c>
      <c r="H33" s="124" t="s">
        <v>81</v>
      </c>
      <c r="I33" s="227"/>
      <c r="J33" s="234"/>
    </row>
    <row r="34" spans="2:10" ht="65">
      <c r="B34" s="121" t="s">
        <v>82</v>
      </c>
      <c r="C34" s="136" t="s">
        <v>71</v>
      </c>
      <c r="D34" s="220" t="s">
        <v>79</v>
      </c>
      <c r="E34" s="212" t="s">
        <v>83</v>
      </c>
      <c r="F34" s="211">
        <v>1</v>
      </c>
      <c r="G34" s="213" t="s">
        <v>74</v>
      </c>
      <c r="H34" s="122" t="s">
        <v>84</v>
      </c>
      <c r="I34" s="236"/>
      <c r="J34" s="233"/>
    </row>
    <row r="35" spans="2:10" ht="26">
      <c r="B35" s="121" t="s">
        <v>85</v>
      </c>
      <c r="C35" s="136" t="s">
        <v>86</v>
      </c>
      <c r="D35" s="220" t="s">
        <v>87</v>
      </c>
      <c r="E35" s="207" t="s">
        <v>88</v>
      </c>
      <c r="F35" s="211">
        <v>1</v>
      </c>
      <c r="G35" s="136" t="s">
        <v>74</v>
      </c>
      <c r="H35" s="122"/>
      <c r="I35" s="227"/>
      <c r="J35" s="235"/>
    </row>
    <row r="36" spans="2:10" ht="39.5" thickBot="1">
      <c r="B36" s="121" t="s">
        <v>89</v>
      </c>
      <c r="C36" s="136" t="s">
        <v>86</v>
      </c>
      <c r="D36" s="220" t="s">
        <v>90</v>
      </c>
      <c r="E36" s="207" t="s">
        <v>91</v>
      </c>
      <c r="F36" s="211">
        <v>1</v>
      </c>
      <c r="G36" s="136" t="s">
        <v>74</v>
      </c>
      <c r="H36" s="125" t="s">
        <v>92</v>
      </c>
      <c r="I36" s="226"/>
      <c r="J36" s="235"/>
    </row>
    <row r="37" spans="2:10" ht="26">
      <c r="B37" s="121" t="s">
        <v>93</v>
      </c>
      <c r="C37" s="136" t="s">
        <v>86</v>
      </c>
      <c r="D37" s="220" t="s">
        <v>94</v>
      </c>
      <c r="E37" s="207" t="s">
        <v>95</v>
      </c>
      <c r="F37" s="211">
        <v>1</v>
      </c>
      <c r="G37" s="136" t="s">
        <v>74</v>
      </c>
      <c r="H37" s="207" t="s">
        <v>96</v>
      </c>
      <c r="I37" s="240"/>
      <c r="J37" s="241"/>
    </row>
    <row r="38" spans="2:10" ht="26">
      <c r="B38" s="121" t="s">
        <v>97</v>
      </c>
      <c r="C38" s="136" t="s">
        <v>86</v>
      </c>
      <c r="D38" s="220" t="s">
        <v>98</v>
      </c>
      <c r="E38" s="207" t="s">
        <v>99</v>
      </c>
      <c r="F38" s="211">
        <v>1</v>
      </c>
      <c r="G38" s="136" t="s">
        <v>74</v>
      </c>
      <c r="H38" s="207"/>
      <c r="I38" s="242"/>
      <c r="J38" s="243"/>
    </row>
    <row r="39" spans="2:10" ht="26">
      <c r="B39" s="121" t="s">
        <v>100</v>
      </c>
      <c r="C39" s="136" t="s">
        <v>86</v>
      </c>
      <c r="D39" s="220" t="s">
        <v>101</v>
      </c>
      <c r="E39" s="207" t="s">
        <v>102</v>
      </c>
      <c r="F39" s="211">
        <v>1</v>
      </c>
      <c r="G39" s="136" t="s">
        <v>74</v>
      </c>
      <c r="H39" s="207" t="s">
        <v>96</v>
      </c>
      <c r="I39" s="244"/>
      <c r="J39" s="245"/>
    </row>
    <row r="40" spans="2:10" ht="39">
      <c r="B40" s="121" t="s">
        <v>103</v>
      </c>
      <c r="C40" s="136" t="s">
        <v>86</v>
      </c>
      <c r="D40" s="220" t="s">
        <v>101</v>
      </c>
      <c r="E40" s="207" t="s">
        <v>104</v>
      </c>
      <c r="F40" s="211">
        <v>1</v>
      </c>
      <c r="G40" s="214" t="s">
        <v>74</v>
      </c>
      <c r="H40" s="207" t="s">
        <v>105</v>
      </c>
      <c r="I40" s="244"/>
      <c r="J40" s="245"/>
    </row>
    <row r="41" spans="2:10" ht="26.5" thickBot="1">
      <c r="B41" s="121" t="s">
        <v>106</v>
      </c>
      <c r="C41" s="136" t="s">
        <v>86</v>
      </c>
      <c r="D41" s="220" t="s">
        <v>107</v>
      </c>
      <c r="E41" s="207" t="s">
        <v>99</v>
      </c>
      <c r="F41" s="211">
        <v>1</v>
      </c>
      <c r="G41" s="136" t="s">
        <v>74</v>
      </c>
      <c r="H41" s="207"/>
      <c r="I41" s="246"/>
      <c r="J41" s="247"/>
    </row>
    <row r="42" spans="2:10" ht="26">
      <c r="B42" s="121" t="s">
        <v>108</v>
      </c>
      <c r="C42" s="136" t="s">
        <v>86</v>
      </c>
      <c r="D42" s="220" t="s">
        <v>109</v>
      </c>
      <c r="E42" s="207" t="s">
        <v>110</v>
      </c>
      <c r="F42" s="211">
        <v>1</v>
      </c>
      <c r="G42" s="136" t="s">
        <v>74</v>
      </c>
      <c r="H42" s="122"/>
      <c r="I42" s="238"/>
      <c r="J42" s="239"/>
    </row>
    <row r="43" spans="2:10" ht="39">
      <c r="B43" s="121" t="s">
        <v>111</v>
      </c>
      <c r="C43" s="136" t="s">
        <v>86</v>
      </c>
      <c r="D43" s="220" t="s">
        <v>112</v>
      </c>
      <c r="E43" s="207" t="s">
        <v>113</v>
      </c>
      <c r="F43" s="211">
        <v>1</v>
      </c>
      <c r="G43" s="136" t="s">
        <v>74</v>
      </c>
      <c r="H43" s="122" t="s">
        <v>114</v>
      </c>
      <c r="I43" s="229"/>
      <c r="J43" s="235"/>
    </row>
    <row r="44" spans="2:10" ht="26.5" thickBot="1">
      <c r="B44" s="121" t="s">
        <v>115</v>
      </c>
      <c r="C44" s="136" t="s">
        <v>86</v>
      </c>
      <c r="D44" s="220" t="s">
        <v>116</v>
      </c>
      <c r="E44" s="209" t="s">
        <v>117</v>
      </c>
      <c r="F44" s="215">
        <v>1</v>
      </c>
      <c r="G44" s="137" t="s">
        <v>74</v>
      </c>
      <c r="H44" s="122"/>
      <c r="I44" s="273"/>
      <c r="J44" s="230"/>
    </row>
    <row r="45" spans="2:10" ht="26.5" thickBot="1">
      <c r="B45" s="121" t="s">
        <v>118</v>
      </c>
      <c r="C45" s="136" t="s">
        <v>86</v>
      </c>
      <c r="D45" s="220" t="s">
        <v>119</v>
      </c>
      <c r="E45" s="209" t="s">
        <v>120</v>
      </c>
      <c r="F45" s="215">
        <v>1</v>
      </c>
      <c r="G45" s="137" t="s">
        <v>74</v>
      </c>
      <c r="H45" s="207"/>
      <c r="I45" s="274"/>
      <c r="J45" s="275"/>
    </row>
    <row r="46" spans="2:10" ht="26">
      <c r="B46" s="121" t="s">
        <v>121</v>
      </c>
      <c r="C46" s="136" t="s">
        <v>122</v>
      </c>
      <c r="D46" s="220" t="s">
        <v>17</v>
      </c>
      <c r="E46" s="209" t="s">
        <v>123</v>
      </c>
      <c r="F46" s="211">
        <v>1</v>
      </c>
      <c r="G46" s="136" t="s">
        <v>74</v>
      </c>
      <c r="H46" s="125"/>
      <c r="I46" s="238"/>
      <c r="J46" s="239"/>
    </row>
    <row r="47" spans="2:10" ht="26.5" thickBot="1">
      <c r="B47" s="121" t="s">
        <v>124</v>
      </c>
      <c r="C47" s="136" t="s">
        <v>122</v>
      </c>
      <c r="D47" s="220" t="s">
        <v>125</v>
      </c>
      <c r="E47" s="209" t="s">
        <v>126</v>
      </c>
      <c r="F47" s="215">
        <v>1</v>
      </c>
      <c r="G47" s="216" t="s">
        <v>74</v>
      </c>
      <c r="H47" s="122"/>
      <c r="I47" s="227"/>
      <c r="J47" s="248"/>
    </row>
    <row r="48" spans="2:10" ht="26.5" thickBot="1">
      <c r="B48" s="121" t="s">
        <v>127</v>
      </c>
      <c r="C48" s="137" t="s">
        <v>122</v>
      </c>
      <c r="D48" s="220" t="s">
        <v>128</v>
      </c>
      <c r="E48" s="209" t="s">
        <v>129</v>
      </c>
      <c r="F48" s="215">
        <v>1</v>
      </c>
      <c r="G48" s="137" t="s">
        <v>74</v>
      </c>
      <c r="H48" s="209" t="s">
        <v>130</v>
      </c>
      <c r="I48" s="276"/>
      <c r="J48" s="277"/>
    </row>
    <row r="49" spans="2:10" ht="65">
      <c r="B49" s="121" t="s">
        <v>131</v>
      </c>
      <c r="C49" s="136" t="s">
        <v>132</v>
      </c>
      <c r="D49" s="220" t="s">
        <v>133</v>
      </c>
      <c r="E49" s="209" t="s">
        <v>134</v>
      </c>
      <c r="F49" s="217" t="s">
        <v>135</v>
      </c>
      <c r="G49" s="136" t="s">
        <v>74</v>
      </c>
      <c r="H49" s="209" t="s">
        <v>136</v>
      </c>
      <c r="I49" s="250"/>
      <c r="J49" s="241"/>
    </row>
    <row r="50" spans="2:10" ht="26">
      <c r="B50" s="121" t="s">
        <v>137</v>
      </c>
      <c r="C50" s="136" t="s">
        <v>62</v>
      </c>
      <c r="D50" s="220" t="s">
        <v>138</v>
      </c>
      <c r="E50" s="207" t="s">
        <v>139</v>
      </c>
      <c r="F50" s="211">
        <v>1</v>
      </c>
      <c r="G50" s="216" t="s">
        <v>74</v>
      </c>
      <c r="H50" s="207"/>
      <c r="I50" s="251"/>
      <c r="J50" s="252"/>
    </row>
    <row r="51" spans="2:10" ht="26">
      <c r="B51" s="121" t="s">
        <v>140</v>
      </c>
      <c r="C51" s="136" t="s">
        <v>62</v>
      </c>
      <c r="D51" s="220" t="s">
        <v>138</v>
      </c>
      <c r="E51" s="207" t="s">
        <v>141</v>
      </c>
      <c r="F51" s="211">
        <v>1</v>
      </c>
      <c r="G51" s="216" t="s">
        <v>74</v>
      </c>
      <c r="H51" s="207" t="s">
        <v>142</v>
      </c>
      <c r="I51" s="253"/>
      <c r="J51" s="252"/>
    </row>
    <row r="52" spans="2:10" ht="26">
      <c r="B52" s="121" t="s">
        <v>143</v>
      </c>
      <c r="C52" s="136" t="s">
        <v>62</v>
      </c>
      <c r="D52" s="220" t="s">
        <v>144</v>
      </c>
      <c r="E52" s="207" t="s">
        <v>145</v>
      </c>
      <c r="F52" s="211">
        <v>1</v>
      </c>
      <c r="G52" s="216" t="s">
        <v>74</v>
      </c>
      <c r="H52" s="207"/>
      <c r="I52" s="254"/>
      <c r="J52" s="252"/>
    </row>
    <row r="53" spans="2:10" ht="39">
      <c r="B53" s="121" t="s">
        <v>146</v>
      </c>
      <c r="C53" s="136" t="s">
        <v>62</v>
      </c>
      <c r="D53" s="220" t="s">
        <v>144</v>
      </c>
      <c r="E53" s="207" t="s">
        <v>147</v>
      </c>
      <c r="F53" s="211" t="s">
        <v>148</v>
      </c>
      <c r="G53" s="216" t="s">
        <v>74</v>
      </c>
      <c r="H53" s="207" t="s">
        <v>142</v>
      </c>
      <c r="I53" s="251"/>
      <c r="J53" s="245"/>
    </row>
    <row r="54" spans="2:10" ht="26">
      <c r="B54" s="121" t="s">
        <v>149</v>
      </c>
      <c r="C54" s="136" t="s">
        <v>62</v>
      </c>
      <c r="D54" s="220" t="s">
        <v>150</v>
      </c>
      <c r="E54" s="207" t="s">
        <v>151</v>
      </c>
      <c r="F54" s="211">
        <v>1</v>
      </c>
      <c r="G54" s="216" t="s">
        <v>74</v>
      </c>
      <c r="H54" s="207"/>
      <c r="I54" s="253"/>
      <c r="J54" s="252"/>
    </row>
    <row r="55" spans="2:10" ht="26">
      <c r="B55" s="121" t="s">
        <v>152</v>
      </c>
      <c r="C55" s="136" t="s">
        <v>62</v>
      </c>
      <c r="D55" s="220" t="s">
        <v>150</v>
      </c>
      <c r="E55" s="207" t="s">
        <v>153</v>
      </c>
      <c r="F55" s="211">
        <v>1</v>
      </c>
      <c r="G55" s="216" t="s">
        <v>74</v>
      </c>
      <c r="H55" s="207" t="s">
        <v>142</v>
      </c>
      <c r="I55" s="255"/>
      <c r="J55" s="256"/>
    </row>
    <row r="56" spans="2:10" ht="39">
      <c r="B56" s="121" t="s">
        <v>154</v>
      </c>
      <c r="C56" s="136" t="s">
        <v>62</v>
      </c>
      <c r="D56" s="220" t="s">
        <v>155</v>
      </c>
      <c r="E56" s="207" t="s">
        <v>156</v>
      </c>
      <c r="F56" s="211">
        <v>1</v>
      </c>
      <c r="G56" s="218" t="s">
        <v>74</v>
      </c>
      <c r="H56" s="207" t="s">
        <v>157</v>
      </c>
      <c r="I56" s="254"/>
      <c r="J56" s="252"/>
    </row>
    <row r="57" spans="2:10" ht="39">
      <c r="B57" s="121" t="s">
        <v>158</v>
      </c>
      <c r="C57" s="136" t="s">
        <v>62</v>
      </c>
      <c r="D57" s="220" t="s">
        <v>155</v>
      </c>
      <c r="E57" s="207" t="s">
        <v>159</v>
      </c>
      <c r="F57" s="211">
        <v>1</v>
      </c>
      <c r="G57" s="218" t="s">
        <v>74</v>
      </c>
      <c r="H57" s="207" t="s">
        <v>160</v>
      </c>
      <c r="I57" s="253"/>
      <c r="J57" s="257"/>
    </row>
    <row r="58" spans="2:10" ht="26">
      <c r="B58" s="121" t="s">
        <v>161</v>
      </c>
      <c r="C58" s="136" t="s">
        <v>62</v>
      </c>
      <c r="D58" s="220" t="s">
        <v>162</v>
      </c>
      <c r="E58" s="207" t="s">
        <v>163</v>
      </c>
      <c r="F58" s="211">
        <v>1</v>
      </c>
      <c r="G58" s="216" t="s">
        <v>74</v>
      </c>
      <c r="H58" s="207" t="s">
        <v>164</v>
      </c>
      <c r="I58" s="242"/>
      <c r="J58" s="257"/>
    </row>
    <row r="59" spans="2:10" ht="39.5" thickBot="1">
      <c r="B59" s="126" t="s">
        <v>165</v>
      </c>
      <c r="C59" s="127" t="s">
        <v>62</v>
      </c>
      <c r="D59" s="221" t="s">
        <v>166</v>
      </c>
      <c r="E59" s="128" t="s">
        <v>167</v>
      </c>
      <c r="F59" s="129">
        <v>1</v>
      </c>
      <c r="G59" s="130" t="s">
        <v>74</v>
      </c>
      <c r="H59" s="128" t="s">
        <v>157</v>
      </c>
      <c r="I59" s="258"/>
      <c r="J59" s="259"/>
    </row>
    <row r="60" spans="2:10" ht="26">
      <c r="B60" s="121" t="s">
        <v>168</v>
      </c>
      <c r="C60" s="136" t="s">
        <v>169</v>
      </c>
      <c r="D60" s="220" t="s">
        <v>170</v>
      </c>
      <c r="E60" s="207" t="s">
        <v>171</v>
      </c>
      <c r="F60" s="211" t="s">
        <v>172</v>
      </c>
      <c r="G60" s="218" t="s">
        <v>74</v>
      </c>
      <c r="H60" s="208" t="s">
        <v>173</v>
      </c>
      <c r="I60" s="250"/>
      <c r="J60" s="260"/>
    </row>
    <row r="61" spans="2:10" ht="52.5" thickBot="1">
      <c r="B61" s="126" t="s">
        <v>174</v>
      </c>
      <c r="C61" s="127" t="s">
        <v>169</v>
      </c>
      <c r="D61" s="221" t="s">
        <v>175</v>
      </c>
      <c r="E61" s="128" t="s">
        <v>176</v>
      </c>
      <c r="F61" s="129" t="s">
        <v>172</v>
      </c>
      <c r="G61" s="130" t="s">
        <v>74</v>
      </c>
      <c r="H61" s="128"/>
      <c r="I61" s="261"/>
      <c r="J61" s="247"/>
    </row>
    <row r="62" spans="2:10" ht="65.5" thickBot="1">
      <c r="B62" s="138" t="s">
        <v>177</v>
      </c>
      <c r="C62" s="139" t="s">
        <v>178</v>
      </c>
      <c r="D62" s="222" t="s">
        <v>179</v>
      </c>
      <c r="E62" s="144" t="s">
        <v>180</v>
      </c>
      <c r="F62" s="141" t="s">
        <v>172</v>
      </c>
      <c r="G62" s="145" t="s">
        <v>74</v>
      </c>
      <c r="H62" s="144"/>
      <c r="I62" s="262"/>
      <c r="J62" s="263"/>
    </row>
    <row r="63" spans="2:10" ht="26">
      <c r="B63" s="121" t="s">
        <v>181</v>
      </c>
      <c r="C63" s="136" t="s">
        <v>182</v>
      </c>
      <c r="D63" s="220" t="s">
        <v>183</v>
      </c>
      <c r="E63" s="209" t="s">
        <v>184</v>
      </c>
      <c r="F63" s="211">
        <v>1</v>
      </c>
      <c r="G63" s="136" t="s">
        <v>74</v>
      </c>
      <c r="H63" s="122"/>
      <c r="I63" s="264"/>
      <c r="J63" s="239"/>
    </row>
    <row r="64" spans="2:10" ht="26">
      <c r="B64" s="121" t="s">
        <v>185</v>
      </c>
      <c r="C64" s="136" t="s">
        <v>182</v>
      </c>
      <c r="D64" s="220" t="s">
        <v>183</v>
      </c>
      <c r="E64" s="209" t="s">
        <v>186</v>
      </c>
      <c r="F64" s="211">
        <v>1</v>
      </c>
      <c r="G64" s="136" t="s">
        <v>74</v>
      </c>
      <c r="H64" s="122"/>
      <c r="I64" s="265"/>
      <c r="J64" s="228"/>
    </row>
    <row r="65" spans="2:10" ht="26">
      <c r="B65" s="121" t="s">
        <v>187</v>
      </c>
      <c r="C65" s="136" t="s">
        <v>182</v>
      </c>
      <c r="D65" s="220" t="s">
        <v>188</v>
      </c>
      <c r="E65" s="209" t="s">
        <v>189</v>
      </c>
      <c r="F65" s="215">
        <v>1</v>
      </c>
      <c r="G65" s="136" t="s">
        <v>74</v>
      </c>
      <c r="H65" s="125" t="s">
        <v>190</v>
      </c>
      <c r="I65" s="249"/>
      <c r="J65" s="228"/>
    </row>
    <row r="66" spans="2:10" ht="26">
      <c r="B66" s="121" t="s">
        <v>191</v>
      </c>
      <c r="C66" s="136" t="s">
        <v>192</v>
      </c>
      <c r="D66" s="223" t="s">
        <v>193</v>
      </c>
      <c r="E66" s="136" t="s">
        <v>194</v>
      </c>
      <c r="F66" s="211">
        <v>1</v>
      </c>
      <c r="G66" s="136" t="s">
        <v>74</v>
      </c>
      <c r="H66" s="122" t="s">
        <v>195</v>
      </c>
      <c r="I66" s="266"/>
      <c r="J66" s="228"/>
    </row>
    <row r="67" spans="2:10" ht="26">
      <c r="B67" s="121" t="s">
        <v>196</v>
      </c>
      <c r="C67" s="136" t="s">
        <v>192</v>
      </c>
      <c r="D67" s="220" t="s">
        <v>197</v>
      </c>
      <c r="E67" s="209" t="s">
        <v>198</v>
      </c>
      <c r="F67" s="215">
        <v>1</v>
      </c>
      <c r="G67" s="137" t="s">
        <v>74</v>
      </c>
      <c r="H67" s="122"/>
      <c r="I67" s="267"/>
      <c r="J67" s="230"/>
    </row>
    <row r="68" spans="2:10" ht="26">
      <c r="B68" s="121" t="s">
        <v>199</v>
      </c>
      <c r="C68" s="136" t="s">
        <v>192</v>
      </c>
      <c r="D68" s="220" t="s">
        <v>197</v>
      </c>
      <c r="E68" s="209" t="s">
        <v>200</v>
      </c>
      <c r="F68" s="215">
        <v>1</v>
      </c>
      <c r="G68" s="137" t="s">
        <v>74</v>
      </c>
      <c r="H68" s="125" t="s">
        <v>201</v>
      </c>
      <c r="I68" s="265"/>
      <c r="J68" s="230"/>
    </row>
    <row r="69" spans="2:10" ht="26">
      <c r="B69" s="121" t="s">
        <v>202</v>
      </c>
      <c r="C69" s="137" t="s">
        <v>192</v>
      </c>
      <c r="D69" s="220" t="s">
        <v>197</v>
      </c>
      <c r="E69" s="209" t="s">
        <v>203</v>
      </c>
      <c r="F69" s="215">
        <v>1</v>
      </c>
      <c r="G69" s="137" t="s">
        <v>74</v>
      </c>
      <c r="H69" s="122" t="s">
        <v>204</v>
      </c>
      <c r="I69" s="249"/>
      <c r="J69" s="230"/>
    </row>
    <row r="70" spans="2:10" ht="26.5" thickBot="1">
      <c r="B70" s="121" t="s">
        <v>205</v>
      </c>
      <c r="C70" s="136" t="s">
        <v>192</v>
      </c>
      <c r="D70" s="224" t="s">
        <v>206</v>
      </c>
      <c r="E70" s="207" t="s">
        <v>207</v>
      </c>
      <c r="F70" s="211">
        <v>1</v>
      </c>
      <c r="G70" s="137" t="s">
        <v>74</v>
      </c>
      <c r="H70" s="122"/>
      <c r="I70" s="186"/>
      <c r="J70" s="235"/>
    </row>
    <row r="71" spans="2:10" ht="26">
      <c r="B71" s="121" t="s">
        <v>208</v>
      </c>
      <c r="C71" s="137" t="s">
        <v>209</v>
      </c>
      <c r="D71" s="220" t="s">
        <v>210</v>
      </c>
      <c r="E71" s="209" t="s">
        <v>211</v>
      </c>
      <c r="F71" s="211">
        <v>1</v>
      </c>
      <c r="G71" s="137" t="s">
        <v>74</v>
      </c>
      <c r="H71" s="207"/>
      <c r="I71" s="269"/>
      <c r="J71" s="270"/>
    </row>
    <row r="72" spans="2:10" ht="24" customHeight="1" thickBot="1">
      <c r="B72" s="121" t="s">
        <v>212</v>
      </c>
      <c r="C72" s="137" t="s">
        <v>209</v>
      </c>
      <c r="D72" s="220" t="s">
        <v>213</v>
      </c>
      <c r="E72" s="209" t="s">
        <v>214</v>
      </c>
      <c r="F72" s="215">
        <v>1</v>
      </c>
      <c r="G72" s="137" t="s">
        <v>74</v>
      </c>
      <c r="H72" s="207"/>
      <c r="I72" s="271"/>
      <c r="J72" s="272"/>
    </row>
    <row r="73" spans="2:10" ht="51.65" customHeight="1">
      <c r="B73" s="126" t="s">
        <v>215</v>
      </c>
      <c r="C73" s="127" t="s">
        <v>216</v>
      </c>
      <c r="D73" s="225" t="s">
        <v>217</v>
      </c>
      <c r="E73" s="128" t="s">
        <v>218</v>
      </c>
      <c r="F73" s="129">
        <v>1</v>
      </c>
      <c r="G73" s="127" t="s">
        <v>74</v>
      </c>
      <c r="H73" s="131" t="s">
        <v>219</v>
      </c>
      <c r="I73" s="234"/>
      <c r="J73" s="268"/>
    </row>
    <row r="74" spans="2:10" ht="26">
      <c r="B74" s="138" t="s">
        <v>220</v>
      </c>
      <c r="C74" s="139" t="s">
        <v>221</v>
      </c>
      <c r="D74" s="222" t="s">
        <v>222</v>
      </c>
      <c r="E74" s="140" t="s">
        <v>223</v>
      </c>
      <c r="F74" s="141">
        <v>1</v>
      </c>
      <c r="G74" s="142" t="s">
        <v>74</v>
      </c>
      <c r="H74" s="143" t="s">
        <v>224</v>
      </c>
      <c r="I74" s="210"/>
      <c r="J74" s="268"/>
    </row>
  </sheetData>
  <mergeCells count="38">
    <mergeCell ref="C4:C6"/>
    <mergeCell ref="E4:E6"/>
    <mergeCell ref="F4:F6"/>
    <mergeCell ref="G4:G6"/>
    <mergeCell ref="C7:C10"/>
    <mergeCell ref="D7:D8"/>
    <mergeCell ref="E7:E8"/>
    <mergeCell ref="F7:F8"/>
    <mergeCell ref="G7:G8"/>
    <mergeCell ref="D9:D10"/>
    <mergeCell ref="C11:C14"/>
    <mergeCell ref="D11:D12"/>
    <mergeCell ref="E11:E12"/>
    <mergeCell ref="F11:F12"/>
    <mergeCell ref="G11:G12"/>
    <mergeCell ref="D13:D14"/>
    <mergeCell ref="E13:E14"/>
    <mergeCell ref="E17:E18"/>
    <mergeCell ref="F17:F18"/>
    <mergeCell ref="E9:E10"/>
    <mergeCell ref="F9:F10"/>
    <mergeCell ref="G9:G10"/>
    <mergeCell ref="B4:B26"/>
    <mergeCell ref="G17:G18"/>
    <mergeCell ref="D19:D22"/>
    <mergeCell ref="E19:E22"/>
    <mergeCell ref="G19:G22"/>
    <mergeCell ref="D23:D26"/>
    <mergeCell ref="E23:E26"/>
    <mergeCell ref="F23:F26"/>
    <mergeCell ref="F13:F14"/>
    <mergeCell ref="G13:G14"/>
    <mergeCell ref="C15:C26"/>
    <mergeCell ref="D15:D16"/>
    <mergeCell ref="E15:E16"/>
    <mergeCell ref="F15:F16"/>
    <mergeCell ref="G15:G16"/>
    <mergeCell ref="D17:D18"/>
  </mergeCells>
  <conditionalFormatting sqref="G31:G37">
    <cfRule type="containsText" dxfId="12" priority="13" operator="containsText" text="neutre">
      <formula>NOT(ISERROR(SEARCH("neutre",G31)))</formula>
    </cfRule>
    <cfRule type="containsText" dxfId="11" priority="14" operator="containsText" text="Défavorable">
      <formula>NOT(ISERROR(SEARCH(("Défavorable"),(G31))))</formula>
    </cfRule>
    <cfRule type="containsText" dxfId="10" priority="15" operator="containsText" text="Très favorable">
      <formula>NOT(ISERROR(SEARCH(("Très favorable"),(G31))))</formula>
    </cfRule>
    <cfRule type="containsText" dxfId="9" priority="16" operator="containsText" text="Favorable sous conditions">
      <formula>NOT(ISERROR(SEARCH("Favorable sous conditions",G31)))</formula>
    </cfRule>
  </conditionalFormatting>
  <conditionalFormatting sqref="G37:G74">
    <cfRule type="containsText" dxfId="8" priority="5" operator="containsText" text="neutre">
      <formula>NOT(ISERROR(SEARCH("neutre",G37)))</formula>
    </cfRule>
    <cfRule type="containsText" dxfId="7" priority="6" operator="containsText" text="Défavorable">
      <formula>NOT(ISERROR(SEARCH(("Défavorable"),(G37))))</formula>
    </cfRule>
    <cfRule type="containsText" dxfId="6" priority="7" operator="containsText" text="Très favorable">
      <formula>NOT(ISERROR(SEARCH(("Très favorable"),(G37))))</formula>
    </cfRule>
    <cfRule type="containsText" dxfId="5" priority="8" operator="containsText" text="Favorable sous conditions">
      <formula>NOT(ISERROR(SEARCH("Favorable sous conditions",G37)))</formula>
    </cfRule>
  </conditionalFormatting>
  <conditionalFormatting sqref="G40">
    <cfRule type="containsText" dxfId="4" priority="1" operator="containsText" text="neutre">
      <formula>NOT(ISERROR(SEARCH("neutre",G40)))</formula>
    </cfRule>
    <cfRule type="containsText" dxfId="3" priority="2" operator="containsText" text="Défavorable">
      <formula>NOT(ISERROR(SEARCH(("Défavorable"),(G40))))</formula>
    </cfRule>
    <cfRule type="containsText" dxfId="2" priority="3" operator="containsText" text="Très favorable">
      <formula>NOT(ISERROR(SEARCH(("Très favorable"),(G40))))</formula>
    </cfRule>
    <cfRule type="containsText" dxfId="1" priority="4" operator="containsText" text="Favorable sous conditions">
      <formula>NOT(ISERROR(SEARCH("Favorable sous conditions",G40)))</formula>
    </cfRule>
  </conditionalFormatting>
  <pageMargins left="0.7" right="0.7" top="0.75" bottom="0.75" header="0.3" footer="0.3"/>
  <pageSetup paperSize="8"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FA8C6-E874-42D1-B065-F9DF92B4901B}">
  <dimension ref="A1:V76"/>
  <sheetViews>
    <sheetView topLeftCell="A16" zoomScale="62" zoomScaleNormal="40" workbookViewId="0">
      <selection activeCell="E43" sqref="E43:R45"/>
    </sheetView>
  </sheetViews>
  <sheetFormatPr baseColWidth="10" defaultColWidth="11.453125" defaultRowHeight="14.5"/>
  <cols>
    <col min="1" max="2" width="11.453125" style="293"/>
    <col min="3" max="3" width="53.453125" style="293" customWidth="1"/>
    <col min="4" max="4" width="11.54296875" style="293" customWidth="1"/>
    <col min="5" max="18" width="20.54296875" style="293" bestFit="1" customWidth="1"/>
    <col min="19" max="19" width="11.453125" style="293"/>
    <col min="20" max="22" width="11.7265625" style="293" bestFit="1" customWidth="1"/>
    <col min="23" max="16384" width="11.453125" style="293"/>
  </cols>
  <sheetData>
    <row r="1" spans="1:21" ht="21">
      <c r="A1" s="1259" t="s">
        <v>225</v>
      </c>
      <c r="E1" s="1496">
        <v>2011</v>
      </c>
      <c r="F1" s="1497">
        <v>2012</v>
      </c>
      <c r="G1" s="1497">
        <v>2013</v>
      </c>
      <c r="H1" s="1497">
        <v>2014</v>
      </c>
      <c r="I1" s="1497">
        <v>2015</v>
      </c>
      <c r="J1" s="1497">
        <v>2016</v>
      </c>
      <c r="K1" s="1497">
        <v>2017</v>
      </c>
      <c r="L1" s="1497">
        <v>2018</v>
      </c>
      <c r="M1" s="1497">
        <v>2019</v>
      </c>
      <c r="N1" s="1497">
        <v>2020</v>
      </c>
      <c r="O1" s="1497">
        <v>2021</v>
      </c>
      <c r="P1" s="1497">
        <v>2022</v>
      </c>
      <c r="Q1" s="1497">
        <v>2023</v>
      </c>
      <c r="R1" s="1498">
        <v>2024</v>
      </c>
      <c r="S1" s="1495"/>
    </row>
    <row r="2" spans="1:21">
      <c r="K2" s="1260"/>
    </row>
    <row r="3" spans="1:21">
      <c r="C3" s="1261" t="s">
        <v>226</v>
      </c>
      <c r="D3" s="1262"/>
      <c r="E3" s="1282">
        <v>2011</v>
      </c>
      <c r="F3" s="1283">
        <v>2012</v>
      </c>
      <c r="G3" s="1283">
        <v>2013</v>
      </c>
      <c r="H3" s="1283">
        <v>2014</v>
      </c>
      <c r="I3" s="1283">
        <v>2015</v>
      </c>
      <c r="J3" s="1283">
        <v>2016</v>
      </c>
      <c r="K3" s="1284">
        <v>2017</v>
      </c>
      <c r="L3" s="1284">
        <v>2018</v>
      </c>
      <c r="M3" s="1284">
        <v>2019</v>
      </c>
      <c r="N3" s="1284">
        <v>2020</v>
      </c>
      <c r="O3" s="1284">
        <v>2021</v>
      </c>
      <c r="P3" s="1284">
        <v>2022</v>
      </c>
      <c r="Q3" s="1284">
        <v>2023</v>
      </c>
      <c r="R3" s="1285">
        <v>2024</v>
      </c>
      <c r="T3" s="1267" t="s">
        <v>1185</v>
      </c>
      <c r="U3" s="1267" t="s">
        <v>1174</v>
      </c>
    </row>
    <row r="4" spans="1:21">
      <c r="A4" s="293" t="s">
        <v>228</v>
      </c>
      <c r="C4" s="1145" t="s">
        <v>229</v>
      </c>
      <c r="D4" s="1159" t="s">
        <v>230</v>
      </c>
      <c r="E4" s="636">
        <f>CT_RENO!H67</f>
        <v>298.90044230129268</v>
      </c>
      <c r="F4" s="633">
        <f>CT_RENO!I67</f>
        <v>309.96916477238227</v>
      </c>
      <c r="G4" s="633">
        <f>CT_RENO!J67</f>
        <v>318.26484061515839</v>
      </c>
      <c r="H4" s="633">
        <f>CT_RENO!K67</f>
        <v>323.66808158194419</v>
      </c>
      <c r="I4" s="633">
        <f>CT_RENO!L67</f>
        <v>315.68068987567557</v>
      </c>
      <c r="J4" s="633">
        <f>CT_RENO!M67</f>
        <v>353.66320902101529</v>
      </c>
      <c r="K4" s="633">
        <f>CT_RENO!N67</f>
        <v>378.95815881878286</v>
      </c>
      <c r="L4" s="633">
        <f>CT_RENO!O67</f>
        <v>412.49785160450801</v>
      </c>
      <c r="M4" s="633">
        <f>CT_RENO!P67</f>
        <v>384.19603634532638</v>
      </c>
      <c r="N4" s="633">
        <f>CT_RENO!Q67</f>
        <v>381.9293557671794</v>
      </c>
      <c r="O4" s="633">
        <f>CT_RENO!R67</f>
        <v>505.95505652810988</v>
      </c>
      <c r="P4" s="633">
        <f>CT_RENO!S67</f>
        <v>414.76021525169767</v>
      </c>
      <c r="Q4" s="633">
        <f>CT_RENO!T67</f>
        <v>335.48251784312123</v>
      </c>
      <c r="R4" s="634">
        <f>CT_RENO!U67</f>
        <v>390.64881130054675</v>
      </c>
      <c r="T4" s="1295">
        <f>R4/H4-1</f>
        <v>0.20694264751479619</v>
      </c>
      <c r="U4" s="1296">
        <f>R4/K4-1</f>
        <v>3.0849454510238905E-2</v>
      </c>
    </row>
    <row r="5" spans="1:21">
      <c r="A5" s="293" t="s">
        <v>228</v>
      </c>
      <c r="C5" s="1147" t="s">
        <v>231</v>
      </c>
      <c r="D5" s="1160" t="s">
        <v>232</v>
      </c>
      <c r="E5" s="637">
        <f>TER_NEUF!H64/10^6</f>
        <v>2325.5967741062582</v>
      </c>
      <c r="F5" s="380">
        <f>TER_NEUF!I64/10^6</f>
        <v>2441.8495712919539</v>
      </c>
      <c r="G5" s="380">
        <f>TER_NEUF!J64/10^6</f>
        <v>2611.9856353441164</v>
      </c>
      <c r="H5" s="380">
        <f>TER_NEUF!K64/10^6</f>
        <v>2340.6589959324028</v>
      </c>
      <c r="I5" s="380">
        <f>TER_NEUF!L64/10^6</f>
        <v>2047.3935248542591</v>
      </c>
      <c r="J5" s="380">
        <f>TER_NEUF!M64/10^6</f>
        <v>1955.0988795517314</v>
      </c>
      <c r="K5" s="380">
        <f>TER_NEUF!N64/10^6</f>
        <v>2086.8805643197629</v>
      </c>
      <c r="L5" s="380">
        <f>TER_NEUF!O64/10^6</f>
        <v>2279.9775580049459</v>
      </c>
      <c r="M5" s="380">
        <f>TER_NEUF!P64/10^6</f>
        <v>2574.4277471397645</v>
      </c>
      <c r="N5" s="380">
        <f>TER_NEUF!Q64/10^6</f>
        <v>2168.9351298025276</v>
      </c>
      <c r="O5" s="380">
        <f>TER_NEUF!R64/10^6</f>
        <v>2395.0042844560471</v>
      </c>
      <c r="P5" s="380">
        <f>TER_NEUF!S64/10^6</f>
        <v>2622.1162968211311</v>
      </c>
      <c r="Q5" s="380">
        <f>TER_NEUF!T64/10^6</f>
        <v>2897.9369413372947</v>
      </c>
      <c r="R5" s="630">
        <f>TER_NEUF!U64/10^6</f>
        <v>3132.9739331107448</v>
      </c>
      <c r="T5" s="1297">
        <f t="shared" ref="T5:T11" si="0">R5/H5-1</f>
        <v>0.33850079766220831</v>
      </c>
      <c r="U5" s="1298">
        <f t="shared" ref="U5:U12" si="1">R5/K5-1</f>
        <v>0.50127131694858895</v>
      </c>
    </row>
    <row r="6" spans="1:21">
      <c r="A6" s="293" t="s">
        <v>233</v>
      </c>
      <c r="C6" s="1147" t="s">
        <v>1233</v>
      </c>
      <c r="D6" s="1160" t="s">
        <v>232</v>
      </c>
      <c r="E6" s="637">
        <f>DEP_ENER!I412</f>
        <v>1667.5410933039186</v>
      </c>
      <c r="F6" s="380">
        <f>DEP_ENER!J412</f>
        <v>1799.345977694562</v>
      </c>
      <c r="G6" s="380">
        <f>DEP_ENER!K412</f>
        <v>1897.485054604866</v>
      </c>
      <c r="H6" s="380">
        <f>DEP_ENER!L412</f>
        <v>1772.3539780243295</v>
      </c>
      <c r="I6" s="380">
        <f>DEP_ENER!M412</f>
        <v>1714.9538041981577</v>
      </c>
      <c r="J6" s="380">
        <f>DEP_ENER!N412</f>
        <v>1622.5459849452591</v>
      </c>
      <c r="K6" s="380">
        <f>DEP_ENER!O412</f>
        <v>1696.5556617523578</v>
      </c>
      <c r="L6" s="380">
        <f>DEP_ENER!P412</f>
        <v>1820.9136082215659</v>
      </c>
      <c r="M6" s="380">
        <f>DEP_ENER!Q412</f>
        <v>1834.8591737453269</v>
      </c>
      <c r="N6" s="380">
        <f>DEP_ENER!R412</f>
        <v>1650.1894774847046</v>
      </c>
      <c r="O6" s="380">
        <f>DEP_ENER!S412</f>
        <v>1814.8382588521936</v>
      </c>
      <c r="P6" s="380">
        <f>DEP_ENER!T412</f>
        <v>2288.7008215520523</v>
      </c>
      <c r="Q6" s="380">
        <f>DEP_ENER!U412</f>
        <v>2683.3284796753874</v>
      </c>
      <c r="R6" s="630">
        <f>DEP_ENER!V412</f>
        <v>2546.2172717650942</v>
      </c>
      <c r="T6" s="1297">
        <f t="shared" si="0"/>
        <v>0.43663021232553212</v>
      </c>
      <c r="U6" s="1298">
        <f t="shared" si="1"/>
        <v>0.50081564028092562</v>
      </c>
    </row>
    <row r="7" spans="1:21">
      <c r="A7" s="293" t="s">
        <v>228</v>
      </c>
      <c r="C7" s="1147" t="s">
        <v>235</v>
      </c>
      <c r="D7" s="1160" t="s">
        <v>232</v>
      </c>
      <c r="E7" s="637">
        <f>VP!H54</f>
        <v>187.48980783441112</v>
      </c>
      <c r="F7" s="380">
        <f>VP!I54</f>
        <v>185.28098764313265</v>
      </c>
      <c r="G7" s="380">
        <f>VP!J54</f>
        <v>181.43131163013254</v>
      </c>
      <c r="H7" s="380">
        <f>VP!K54</f>
        <v>190.04010150669967</v>
      </c>
      <c r="I7" s="380">
        <f>VP!L54</f>
        <v>214.97074076776076</v>
      </c>
      <c r="J7" s="380">
        <f>VP!M54</f>
        <v>245.0111891718212</v>
      </c>
      <c r="K7" s="380">
        <f>VP!N54</f>
        <v>268.69410011674472</v>
      </c>
      <c r="L7" s="380">
        <f>VP!O54</f>
        <v>258.58625995041234</v>
      </c>
      <c r="M7" s="380">
        <f>VP!P54</f>
        <v>264.7505467641987</v>
      </c>
      <c r="N7" s="380">
        <f>VP!Q54</f>
        <v>158.97019121650223</v>
      </c>
      <c r="O7" s="380">
        <f>VP!R54</f>
        <v>156.86238979582416</v>
      </c>
      <c r="P7" s="380">
        <f>VP!S54</f>
        <v>135.31485584779668</v>
      </c>
      <c r="Q7" s="380">
        <f>VP!T54</f>
        <v>131.26473492305095</v>
      </c>
      <c r="R7" s="630">
        <f>VP!U54</f>
        <v>121.45915802243005</v>
      </c>
      <c r="T7" s="1297">
        <f t="shared" si="0"/>
        <v>-0.36087616740118333</v>
      </c>
      <c r="U7" s="1298">
        <f t="shared" si="1"/>
        <v>-0.54796492379379624</v>
      </c>
    </row>
    <row r="8" spans="1:21">
      <c r="A8" s="293" t="s">
        <v>228</v>
      </c>
      <c r="C8" s="1147" t="s">
        <v>236</v>
      </c>
      <c r="D8" s="1160" t="s">
        <v>232</v>
      </c>
      <c r="E8" s="637">
        <f>VUL!H26</f>
        <v>184.182635204842</v>
      </c>
      <c r="F8" s="380">
        <f>VUL!I26</f>
        <v>164.34348718023611</v>
      </c>
      <c r="G8" s="380">
        <f>VUL!J26</f>
        <v>156.37981398636529</v>
      </c>
      <c r="H8" s="380">
        <f>VUL!K26</f>
        <v>159.14016470870015</v>
      </c>
      <c r="I8" s="380">
        <f>VUL!L26</f>
        <v>162.61779191031715</v>
      </c>
      <c r="J8" s="380">
        <f>VUL!M26</f>
        <v>175.5990150834497</v>
      </c>
      <c r="K8" s="380">
        <f>VUL!N26</f>
        <v>188.22773601042175</v>
      </c>
      <c r="L8" s="380">
        <f>VUL!O26</f>
        <v>195.62097339658024</v>
      </c>
      <c r="M8" s="380">
        <f>VUL!P26</f>
        <v>213.70709596567377</v>
      </c>
      <c r="N8" s="380">
        <f>VUL!Q26</f>
        <v>188.34184976851989</v>
      </c>
      <c r="O8" s="380">
        <f>VUL!R26</f>
        <v>214.62647472806563</v>
      </c>
      <c r="P8" s="380">
        <f>VUL!S26</f>
        <v>187.91326442642583</v>
      </c>
      <c r="Q8" s="380">
        <f>VUL!T26</f>
        <v>235.75158222621704</v>
      </c>
      <c r="R8" s="630">
        <f>VUL!U26</f>
        <v>253.99237698708365</v>
      </c>
      <c r="T8" s="1297">
        <f t="shared" si="0"/>
        <v>0.59602937103908848</v>
      </c>
      <c r="U8" s="1298">
        <f t="shared" si="1"/>
        <v>0.34938868399830647</v>
      </c>
    </row>
    <row r="9" spans="1:21">
      <c r="A9" s="293" t="s">
        <v>228</v>
      </c>
      <c r="C9" s="1147" t="s">
        <v>237</v>
      </c>
      <c r="D9" s="1160" t="s">
        <v>232</v>
      </c>
      <c r="E9" s="637">
        <f>BUSCAR!H70</f>
        <v>772.74406620350351</v>
      </c>
      <c r="F9" s="380">
        <f>BUSCAR!I70</f>
        <v>729.12170597533657</v>
      </c>
      <c r="G9" s="380">
        <f>BUSCAR!J70</f>
        <v>821.33080030072358</v>
      </c>
      <c r="H9" s="380">
        <f>BUSCAR!K70</f>
        <v>695.55379830992365</v>
      </c>
      <c r="I9" s="380">
        <f>BUSCAR!L70</f>
        <v>855.31385428458816</v>
      </c>
      <c r="J9" s="380">
        <f>BUSCAR!M70</f>
        <v>672.12880014246343</v>
      </c>
      <c r="K9" s="380">
        <f>BUSCAR!N70</f>
        <v>581.89167590925058</v>
      </c>
      <c r="L9" s="380">
        <f>BUSCAR!O70</f>
        <v>552.59922654239881</v>
      </c>
      <c r="M9" s="380">
        <f>BUSCAR!P70</f>
        <v>494.16410108095528</v>
      </c>
      <c r="N9" s="380">
        <f>BUSCAR!Q70</f>
        <v>393.82017722563995</v>
      </c>
      <c r="O9" s="380">
        <f>BUSCAR!R70</f>
        <v>265.57272336270643</v>
      </c>
      <c r="P9" s="380">
        <f>BUSCAR!S70</f>
        <v>146.71552277019779</v>
      </c>
      <c r="Q9" s="380">
        <f>BUSCAR!T70</f>
        <v>159.4265252994058</v>
      </c>
      <c r="R9" s="630">
        <f>BUSCAR!U70</f>
        <v>177.93521765897816</v>
      </c>
      <c r="T9" s="1297">
        <f t="shared" si="0"/>
        <v>-0.74418194812345184</v>
      </c>
      <c r="U9" s="1298">
        <f t="shared" si="1"/>
        <v>-0.69421247110823392</v>
      </c>
    </row>
    <row r="10" spans="1:21">
      <c r="A10" s="293" t="s">
        <v>228</v>
      </c>
      <c r="C10" s="1147" t="s">
        <v>238</v>
      </c>
      <c r="D10" s="1160" t="s">
        <v>232</v>
      </c>
      <c r="E10" s="637">
        <v>150</v>
      </c>
      <c r="F10" s="380">
        <v>150</v>
      </c>
      <c r="G10" s="380">
        <v>150</v>
      </c>
      <c r="H10" s="380">
        <v>150</v>
      </c>
      <c r="I10" s="380">
        <v>150</v>
      </c>
      <c r="J10" s="380">
        <v>150</v>
      </c>
      <c r="K10" s="380">
        <v>150</v>
      </c>
      <c r="L10" s="380">
        <v>150</v>
      </c>
      <c r="M10" s="380">
        <v>150</v>
      </c>
      <c r="N10" s="380">
        <v>150</v>
      </c>
      <c r="O10" s="380">
        <v>150</v>
      </c>
      <c r="P10" s="380">
        <v>150</v>
      </c>
      <c r="Q10" s="380">
        <v>150</v>
      </c>
      <c r="R10" s="630">
        <v>150</v>
      </c>
      <c r="T10" s="1297">
        <f t="shared" si="0"/>
        <v>0</v>
      </c>
      <c r="U10" s="1298">
        <f t="shared" si="1"/>
        <v>0</v>
      </c>
    </row>
    <row r="11" spans="1:21">
      <c r="A11" s="293" t="s">
        <v>228</v>
      </c>
      <c r="C11" s="1147" t="s">
        <v>239</v>
      </c>
      <c r="D11" s="1160" t="s">
        <v>232</v>
      </c>
      <c r="E11" s="637">
        <f>'ROUTES (v2)'!H180</f>
        <v>2921.5760903009777</v>
      </c>
      <c r="F11" s="380">
        <f>'ROUTES (v2)'!I180</f>
        <v>2943.2767061248092</v>
      </c>
      <c r="G11" s="380">
        <f>'ROUTES (v2)'!J180</f>
        <v>2791.7987173927809</v>
      </c>
      <c r="H11" s="380">
        <f>'ROUTES (v2)'!K180</f>
        <v>2270.020445784593</v>
      </c>
      <c r="I11" s="380">
        <f>'ROUTES (v2)'!L180</f>
        <v>1869.6819755915747</v>
      </c>
      <c r="J11" s="380">
        <f>'ROUTES (v2)'!M180</f>
        <v>1946.3078084767933</v>
      </c>
      <c r="K11" s="380">
        <f>'ROUTES (v2)'!N180</f>
        <v>1961.2779303223633</v>
      </c>
      <c r="L11" s="380">
        <f>'ROUTES (v2)'!O180</f>
        <v>2131.7391369861102</v>
      </c>
      <c r="M11" s="380">
        <f>'ROUTES (v2)'!P180</f>
        <v>1790.0841589467275</v>
      </c>
      <c r="N11" s="380">
        <f>'ROUTES (v2)'!Q180</f>
        <v>2030.5112184126278</v>
      </c>
      <c r="O11" s="380">
        <f>'ROUTES (v2)'!R180</f>
        <v>1762.6335539062406</v>
      </c>
      <c r="P11" s="380">
        <f>'ROUTES (v2)'!S180</f>
        <v>1842.1336451530829</v>
      </c>
      <c r="Q11" s="380">
        <f>'ROUTES (v2)'!T180</f>
        <v>1439.8980971236003</v>
      </c>
      <c r="R11" s="630">
        <f>'ROUTES (v2)'!U180</f>
        <v>1412.3268368525873</v>
      </c>
      <c r="T11" s="1297">
        <f t="shared" si="0"/>
        <v>-0.37783519109915276</v>
      </c>
      <c r="U11" s="1298">
        <f t="shared" si="1"/>
        <v>-0.27989459575448761</v>
      </c>
    </row>
    <row r="12" spans="1:21">
      <c r="A12" s="293" t="s">
        <v>228</v>
      </c>
      <c r="C12" s="1147" t="s">
        <v>240</v>
      </c>
      <c r="D12" s="1160" t="s">
        <v>232</v>
      </c>
      <c r="E12" s="638">
        <f>MR_FER!H106</f>
        <v>0</v>
      </c>
      <c r="F12" s="631">
        <f>MR_FER!I106</f>
        <v>96.761910808633758</v>
      </c>
      <c r="G12" s="631">
        <f>MR_FER!J106</f>
        <v>160.62087810286286</v>
      </c>
      <c r="H12" s="631">
        <f>MR_FER!K106</f>
        <v>102.00166435517774</v>
      </c>
      <c r="I12" s="631">
        <f>MR_FER!L106</f>
        <v>35.353860817491721</v>
      </c>
      <c r="J12" s="631">
        <f>MR_FER!M106</f>
        <v>48.149798417548041</v>
      </c>
      <c r="K12" s="631">
        <f>MR_FER!N106</f>
        <v>29.685115540315788</v>
      </c>
      <c r="L12" s="631">
        <f>MR_FER!O106</f>
        <v>88.294309229024236</v>
      </c>
      <c r="M12" s="631">
        <f>MR_FER!P106</f>
        <v>71.926756432493974</v>
      </c>
      <c r="N12" s="631">
        <f>MR_FER!Q106</f>
        <v>103.23398977299442</v>
      </c>
      <c r="O12" s="631">
        <f>MR_FER!R106</f>
        <v>76.71077245524279</v>
      </c>
      <c r="P12" s="631">
        <f>MR_FER!S106</f>
        <v>87.078854785630014</v>
      </c>
      <c r="Q12" s="631">
        <f>MR_FER!T106</f>
        <v>0</v>
      </c>
      <c r="R12" s="632">
        <f>MR_FER!U106</f>
        <v>0</v>
      </c>
      <c r="T12" s="1299" t="e">
        <f>Q12/E12-1</f>
        <v>#DIV/0!</v>
      </c>
      <c r="U12" s="1300">
        <f t="shared" si="1"/>
        <v>-1</v>
      </c>
    </row>
    <row r="13" spans="1:21">
      <c r="C13" s="1261" t="s">
        <v>241</v>
      </c>
      <c r="D13" s="1493" t="s">
        <v>232</v>
      </c>
      <c r="E13" s="1282">
        <f>SUM(E4:E12)</f>
        <v>8508.0309092552034</v>
      </c>
      <c r="F13" s="1283">
        <f t="shared" ref="F13:R13" si="2">SUM(F4:F12)</f>
        <v>8819.9495114910478</v>
      </c>
      <c r="G13" s="1283">
        <f t="shared" si="2"/>
        <v>9089.2970519770079</v>
      </c>
      <c r="H13" s="1283">
        <f t="shared" si="2"/>
        <v>8003.4372302037718</v>
      </c>
      <c r="I13" s="1283">
        <f t="shared" si="2"/>
        <v>7365.9662422998254</v>
      </c>
      <c r="J13" s="1283">
        <f t="shared" si="2"/>
        <v>7168.5046848100819</v>
      </c>
      <c r="K13" s="1283">
        <f t="shared" si="2"/>
        <v>7342.1709427900005</v>
      </c>
      <c r="L13" s="1283">
        <f t="shared" si="2"/>
        <v>7890.2289239355468</v>
      </c>
      <c r="M13" s="1283">
        <f t="shared" si="2"/>
        <v>7778.1156164204667</v>
      </c>
      <c r="N13" s="1283">
        <f t="shared" si="2"/>
        <v>7225.9313894506959</v>
      </c>
      <c r="O13" s="1283">
        <f t="shared" si="2"/>
        <v>7342.2035140844309</v>
      </c>
      <c r="P13" s="1283">
        <f t="shared" si="2"/>
        <v>7874.733476608013</v>
      </c>
      <c r="Q13" s="1283">
        <f t="shared" si="2"/>
        <v>8033.0888784280769</v>
      </c>
      <c r="R13" s="1494">
        <f t="shared" si="2"/>
        <v>8185.5536056974652</v>
      </c>
    </row>
    <row r="14" spans="1:21">
      <c r="C14" s="1516" t="s">
        <v>1275</v>
      </c>
      <c r="D14" s="1146" t="s">
        <v>232</v>
      </c>
      <c r="E14" s="1517">
        <f t="shared" ref="E14:R14" si="3">E13-E6</f>
        <v>6840.489815951285</v>
      </c>
      <c r="F14" s="1518">
        <f t="shared" si="3"/>
        <v>7020.6035337964859</v>
      </c>
      <c r="G14" s="1518">
        <f t="shared" si="3"/>
        <v>7191.8119973721423</v>
      </c>
      <c r="H14" s="1518">
        <f t="shared" si="3"/>
        <v>6231.0832521794418</v>
      </c>
      <c r="I14" s="1518">
        <f t="shared" si="3"/>
        <v>5651.0124381016676</v>
      </c>
      <c r="J14" s="1518">
        <f t="shared" si="3"/>
        <v>5545.9586998648228</v>
      </c>
      <c r="K14" s="1518">
        <f t="shared" si="3"/>
        <v>5645.6152810376425</v>
      </c>
      <c r="L14" s="1518">
        <f t="shared" si="3"/>
        <v>6069.3153157139805</v>
      </c>
      <c r="M14" s="1518">
        <f t="shared" si="3"/>
        <v>5943.2564426751396</v>
      </c>
      <c r="N14" s="1518">
        <f t="shared" si="3"/>
        <v>5575.7419119659917</v>
      </c>
      <c r="O14" s="1518">
        <f t="shared" si="3"/>
        <v>5527.3652552322374</v>
      </c>
      <c r="P14" s="1518">
        <f t="shared" si="3"/>
        <v>5586.0326550559603</v>
      </c>
      <c r="Q14" s="1518">
        <f t="shared" si="3"/>
        <v>5349.7603987526891</v>
      </c>
      <c r="R14" s="1519">
        <f t="shared" si="3"/>
        <v>5639.3363339323714</v>
      </c>
      <c r="T14" s="1520">
        <f>R14/H14-1</f>
        <v>-9.4966941428698659E-2</v>
      </c>
      <c r="U14" s="1515">
        <f>R14/K14-1</f>
        <v>-1.1121811871170895E-3</v>
      </c>
    </row>
    <row r="15" spans="1:21" ht="13.5" customHeight="1">
      <c r="C15" s="1145" t="s">
        <v>242</v>
      </c>
      <c r="D15" s="1146"/>
      <c r="E15" s="640">
        <f t="shared" ref="E15:R15" si="4">E4+E7+E8+E12+E9</f>
        <v>1443.3169515440493</v>
      </c>
      <c r="F15" s="381">
        <f t="shared" si="4"/>
        <v>1485.4772563797214</v>
      </c>
      <c r="G15" s="381">
        <f t="shared" si="4"/>
        <v>1638.0276446352427</v>
      </c>
      <c r="H15" s="381">
        <f t="shared" si="4"/>
        <v>1470.4038104624453</v>
      </c>
      <c r="I15" s="381">
        <f t="shared" si="4"/>
        <v>1583.9369376558334</v>
      </c>
      <c r="J15" s="381">
        <f t="shared" si="4"/>
        <v>1494.5520118362977</v>
      </c>
      <c r="K15" s="381">
        <f t="shared" si="4"/>
        <v>1447.4567863955158</v>
      </c>
      <c r="L15" s="381">
        <f t="shared" si="4"/>
        <v>1507.5986207229237</v>
      </c>
      <c r="M15" s="381">
        <f t="shared" si="4"/>
        <v>1428.7445365886481</v>
      </c>
      <c r="N15" s="381">
        <f t="shared" si="4"/>
        <v>1226.2955637508358</v>
      </c>
      <c r="O15" s="381">
        <f t="shared" si="4"/>
        <v>1219.7274168699489</v>
      </c>
      <c r="P15" s="381">
        <f t="shared" si="4"/>
        <v>971.78271308174806</v>
      </c>
      <c r="Q15" s="381">
        <f t="shared" si="4"/>
        <v>861.92536029179496</v>
      </c>
      <c r="R15" s="823">
        <f t="shared" si="4"/>
        <v>944.03556396903855</v>
      </c>
    </row>
    <row r="16" spans="1:21" ht="13" customHeight="1">
      <c r="C16" s="1147" t="s">
        <v>243</v>
      </c>
      <c r="E16" s="640">
        <f t="shared" ref="E16:R16" si="5">E5+E11+E10</f>
        <v>5397.1728644072355</v>
      </c>
      <c r="F16" s="381">
        <f t="shared" si="5"/>
        <v>5535.1262774167626</v>
      </c>
      <c r="G16" s="381">
        <f t="shared" si="5"/>
        <v>5553.7843527368968</v>
      </c>
      <c r="H16" s="381">
        <f t="shared" si="5"/>
        <v>4760.6794417169958</v>
      </c>
      <c r="I16" s="381">
        <f t="shared" si="5"/>
        <v>4067.0755004458338</v>
      </c>
      <c r="J16" s="381">
        <f t="shared" si="5"/>
        <v>4051.4066880285245</v>
      </c>
      <c r="K16" s="381">
        <f t="shared" si="5"/>
        <v>4198.1584946421262</v>
      </c>
      <c r="L16" s="381">
        <f t="shared" si="5"/>
        <v>4561.7166949910561</v>
      </c>
      <c r="M16" s="381">
        <f t="shared" si="5"/>
        <v>4514.5119060864918</v>
      </c>
      <c r="N16" s="381">
        <f t="shared" si="5"/>
        <v>4349.446348215155</v>
      </c>
      <c r="O16" s="381">
        <f t="shared" si="5"/>
        <v>4307.6378383622878</v>
      </c>
      <c r="P16" s="381">
        <f t="shared" si="5"/>
        <v>4614.2499419742144</v>
      </c>
      <c r="Q16" s="381">
        <f t="shared" si="5"/>
        <v>4487.8350384608948</v>
      </c>
      <c r="R16" s="823">
        <f t="shared" si="5"/>
        <v>4695.3007699633326</v>
      </c>
    </row>
    <row r="17" spans="3:22" ht="14.5" customHeight="1">
      <c r="C17" s="1148" t="s">
        <v>234</v>
      </c>
      <c r="D17" s="1149"/>
      <c r="E17" s="642">
        <f t="shared" ref="E17:R17" si="6">E6</f>
        <v>1667.5410933039186</v>
      </c>
      <c r="F17" s="382">
        <f t="shared" si="6"/>
        <v>1799.345977694562</v>
      </c>
      <c r="G17" s="382">
        <f t="shared" si="6"/>
        <v>1897.485054604866</v>
      </c>
      <c r="H17" s="382">
        <f t="shared" si="6"/>
        <v>1772.3539780243295</v>
      </c>
      <c r="I17" s="382">
        <f t="shared" si="6"/>
        <v>1714.9538041981577</v>
      </c>
      <c r="J17" s="382">
        <f t="shared" si="6"/>
        <v>1622.5459849452591</v>
      </c>
      <c r="K17" s="382">
        <f t="shared" si="6"/>
        <v>1696.5556617523578</v>
      </c>
      <c r="L17" s="382">
        <f t="shared" si="6"/>
        <v>1820.9136082215659</v>
      </c>
      <c r="M17" s="382">
        <f t="shared" si="6"/>
        <v>1834.8591737453269</v>
      </c>
      <c r="N17" s="382">
        <f t="shared" si="6"/>
        <v>1650.1894774847046</v>
      </c>
      <c r="O17" s="382">
        <f t="shared" si="6"/>
        <v>1814.8382588521936</v>
      </c>
      <c r="P17" s="382">
        <f t="shared" si="6"/>
        <v>2288.7008215520523</v>
      </c>
      <c r="Q17" s="382">
        <f t="shared" si="6"/>
        <v>2683.3284796753874</v>
      </c>
      <c r="R17" s="824">
        <f t="shared" si="6"/>
        <v>2546.2172717650942</v>
      </c>
    </row>
    <row r="18" spans="3:22" ht="14.5" customHeight="1">
      <c r="E18" s="380"/>
      <c r="F18" s="380"/>
      <c r="G18" s="380"/>
      <c r="H18" s="380"/>
      <c r="I18" s="380"/>
      <c r="J18" s="380"/>
      <c r="K18" s="380"/>
      <c r="L18" s="380"/>
      <c r="M18" s="380"/>
      <c r="N18" s="380"/>
      <c r="O18" s="380"/>
      <c r="P18" s="380"/>
      <c r="Q18" s="380"/>
      <c r="R18" s="380"/>
    </row>
    <row r="19" spans="3:22">
      <c r="C19" s="1261" t="s">
        <v>244</v>
      </c>
      <c r="D19" s="1268"/>
      <c r="E19" s="1263">
        <v>2011</v>
      </c>
      <c r="F19" s="1264">
        <v>2012</v>
      </c>
      <c r="G19" s="1264">
        <v>2013</v>
      </c>
      <c r="H19" s="1264">
        <v>2014</v>
      </c>
      <c r="I19" s="1264">
        <v>2015</v>
      </c>
      <c r="J19" s="1264">
        <v>2016</v>
      </c>
      <c r="K19" s="1265">
        <v>2017</v>
      </c>
      <c r="L19" s="1265">
        <v>2018</v>
      </c>
      <c r="M19" s="1265">
        <v>2019</v>
      </c>
      <c r="N19" s="1265">
        <v>2020</v>
      </c>
      <c r="O19" s="1265">
        <v>2021</v>
      </c>
      <c r="P19" s="1265">
        <v>2022</v>
      </c>
      <c r="Q19" s="1265">
        <v>2023</v>
      </c>
      <c r="R19" s="1266">
        <v>2024</v>
      </c>
    </row>
    <row r="20" spans="3:22">
      <c r="C20" s="1145" t="s">
        <v>229</v>
      </c>
      <c r="D20" s="1159" t="s">
        <v>230</v>
      </c>
      <c r="E20" s="1269">
        <f>CT_RENO!H61</f>
        <v>926.54927866973242</v>
      </c>
      <c r="F20" s="1270">
        <f>CT_RENO!I61</f>
        <v>938.9581967044046</v>
      </c>
      <c r="G20" s="1270">
        <f>CT_RENO!J61</f>
        <v>963.87134990398135</v>
      </c>
      <c r="H20" s="1270">
        <f>CT_RENO!K61</f>
        <v>1026.9408841494976</v>
      </c>
      <c r="I20" s="1270">
        <f>CT_RENO!L61</f>
        <v>1064.6691178674403</v>
      </c>
      <c r="J20" s="1270">
        <f>CT_RENO!M61</f>
        <v>1186.0003835908524</v>
      </c>
      <c r="K20" s="1270">
        <f>CT_RENO!N61</f>
        <v>1326.5453769849883</v>
      </c>
      <c r="L20" s="1270">
        <f>CT_RENO!O61</f>
        <v>1342.0421073462135</v>
      </c>
      <c r="M20" s="1270">
        <f>CT_RENO!P61</f>
        <v>1357.8491259294724</v>
      </c>
      <c r="N20" s="1270">
        <f>CT_RENO!Q61</f>
        <v>1301.6043685578281</v>
      </c>
      <c r="O20" s="1270">
        <f>CT_RENO!R61</f>
        <v>1716.0919348529892</v>
      </c>
      <c r="P20" s="1270">
        <f>CT_RENO!S61</f>
        <v>1958.202410443231</v>
      </c>
      <c r="Q20" s="1270">
        <f>CT_RENO!T61</f>
        <v>1912.7988499142102</v>
      </c>
      <c r="R20" s="1233">
        <f>CT_RENO!U61</f>
        <v>1907.0844258360373</v>
      </c>
    </row>
    <row r="21" spans="3:22">
      <c r="C21" s="1147" t="s">
        <v>231</v>
      </c>
      <c r="D21" s="1160" t="s">
        <v>232</v>
      </c>
      <c r="E21" s="640">
        <f>TER_NEUF!H60/10^6</f>
        <v>16999.976418905397</v>
      </c>
      <c r="F21" s="381">
        <f>TER_NEUF!I60/10^6</f>
        <v>17849.77756792364</v>
      </c>
      <c r="G21" s="381">
        <f>TER_NEUF!J60/10^6</f>
        <v>19093.462246667514</v>
      </c>
      <c r="H21" s="381">
        <f>TER_NEUF!K60/10^6</f>
        <v>17110.080379622825</v>
      </c>
      <c r="I21" s="381">
        <f>TER_NEUF!L60/10^6</f>
        <v>14966.326936069145</v>
      </c>
      <c r="J21" s="381">
        <f>TER_NEUF!M60/10^6</f>
        <v>14291.658476255347</v>
      </c>
      <c r="K21" s="381">
        <f>TER_NEUF!N60/10^6</f>
        <v>15254.974885378384</v>
      </c>
      <c r="L21" s="381">
        <f>TER_NEUF!O60/10^6</f>
        <v>16666.502616995218</v>
      </c>
      <c r="M21" s="381">
        <f>TER_NEUF!P60/10^6</f>
        <v>18818.916280261437</v>
      </c>
      <c r="N21" s="381">
        <f>TER_NEUF!Q60/10^6</f>
        <v>15854.788960544793</v>
      </c>
      <c r="O21" s="381">
        <f>TER_NEUF!R60/10^6</f>
        <v>17507.341260643621</v>
      </c>
      <c r="P21" s="381">
        <f>TER_NEUF!S60/10^6</f>
        <v>19167.516789628149</v>
      </c>
      <c r="Q21" s="381">
        <f>TER_NEUF!T60/10^6</f>
        <v>21183.749571179054</v>
      </c>
      <c r="R21" s="823">
        <f>TER_NEUF!U60/10^6</f>
        <v>22901.856236189655</v>
      </c>
    </row>
    <row r="22" spans="3:22">
      <c r="C22" s="1147" t="s">
        <v>234</v>
      </c>
      <c r="D22" s="1160" t="s">
        <v>232</v>
      </c>
      <c r="E22" s="640">
        <f>DEP_ENER!I79/10^6</f>
        <v>3417.2447050889728</v>
      </c>
      <c r="F22" s="381">
        <f>DEP_ENER!J79/10^6</f>
        <v>3665.2778619621918</v>
      </c>
      <c r="G22" s="381">
        <f>DEP_ENER!K79/10^6</f>
        <v>4028.1304169082641</v>
      </c>
      <c r="H22" s="381">
        <f>DEP_ENER!L79/10^6</f>
        <v>3801.5672908432598</v>
      </c>
      <c r="I22" s="381">
        <f>DEP_ENER!M79/10^6</f>
        <v>3888.4311925540665</v>
      </c>
      <c r="J22" s="381">
        <f>DEP_ENER!N79/10^6</f>
        <v>3733.0357854239342</v>
      </c>
      <c r="K22" s="381">
        <f>DEP_ENER!O79/10^6</f>
        <v>3839.1960035676411</v>
      </c>
      <c r="L22" s="381">
        <f>DEP_ENER!P79/10^6</f>
        <v>3980.1638613893506</v>
      </c>
      <c r="M22" s="381">
        <f>DEP_ENER!Q79/10^6</f>
        <v>4057.1370473797278</v>
      </c>
      <c r="N22" s="381">
        <f>DEP_ENER!R79/10^6</f>
        <v>3893.2836050391888</v>
      </c>
      <c r="O22" s="381">
        <f>DEP_ENER!S79/10^6</f>
        <v>4089.02075661961</v>
      </c>
      <c r="P22" s="381">
        <f>DEP_ENER!T79/10^6</f>
        <v>5157.6267214974605</v>
      </c>
      <c r="Q22" s="381">
        <f>DEP_ENER!U79/10^6</f>
        <v>6647.9318461487073</v>
      </c>
      <c r="R22" s="823">
        <f>DEP_ENER!V79/10^6</f>
        <v>6330.3607363399224</v>
      </c>
    </row>
    <row r="23" spans="3:22">
      <c r="C23" s="1147" t="s">
        <v>235</v>
      </c>
      <c r="D23" s="1160" t="s">
        <v>232</v>
      </c>
      <c r="E23" s="640">
        <f>VP!H56</f>
        <v>188.31004396319648</v>
      </c>
      <c r="F23" s="381">
        <f>VP!I56</f>
        <v>187.06404527587557</v>
      </c>
      <c r="G23" s="381">
        <f>VP!J56</f>
        <v>183.74725365605275</v>
      </c>
      <c r="H23" s="381">
        <f>VP!K56</f>
        <v>193.13823449158113</v>
      </c>
      <c r="I23" s="381">
        <f>VP!L56</f>
        <v>220.62747586428739</v>
      </c>
      <c r="J23" s="381">
        <f>VP!M56</f>
        <v>252.72296015177193</v>
      </c>
      <c r="K23" s="381">
        <f>VP!N56</f>
        <v>278.07752731212111</v>
      </c>
      <c r="L23" s="381">
        <f>VP!O56</f>
        <v>271.18002150654712</v>
      </c>
      <c r="M23" s="381">
        <f>VP!P56</f>
        <v>286.03667536954617</v>
      </c>
      <c r="N23" s="381">
        <f>VP!Q56</f>
        <v>212.1007625689038</v>
      </c>
      <c r="O23" s="381">
        <f>VP!R56</f>
        <v>238.81606023358233</v>
      </c>
      <c r="P23" s="381">
        <f>VP!S56</f>
        <v>234.74454175541359</v>
      </c>
      <c r="Q23" s="381">
        <f>VP!T56</f>
        <v>302.09518099510825</v>
      </c>
      <c r="R23" s="823">
        <f>VP!U56</f>
        <v>228.1822227191858</v>
      </c>
    </row>
    <row r="24" spans="3:22">
      <c r="C24" s="1147" t="s">
        <v>236</v>
      </c>
      <c r="D24" s="1160" t="s">
        <v>232</v>
      </c>
      <c r="E24" s="640">
        <f xml:space="preserve">     VUL!H30</f>
        <v>195.08408384435037</v>
      </c>
      <c r="F24" s="381">
        <f xml:space="preserve">     VUL!I30</f>
        <v>181.04185681308431</v>
      </c>
      <c r="G24" s="381">
        <f xml:space="preserve">     VUL!J30</f>
        <v>177.24721847460839</v>
      </c>
      <c r="H24" s="381">
        <f xml:space="preserve">     VUL!K30</f>
        <v>177.39756725170986</v>
      </c>
      <c r="I24" s="381">
        <f xml:space="preserve">     VUL!L30</f>
        <v>182.3647354115154</v>
      </c>
      <c r="J24" s="381">
        <f xml:space="preserve">     VUL!M30</f>
        <v>198.00579393351029</v>
      </c>
      <c r="K24" s="381">
        <f xml:space="preserve">     VUL!N30</f>
        <v>213.83782071851249</v>
      </c>
      <c r="L24" s="381">
        <f xml:space="preserve">     VUL!O30</f>
        <v>227.35529780965297</v>
      </c>
      <c r="M24" s="381">
        <f xml:space="preserve">     VUL!P30</f>
        <v>248.03040838334115</v>
      </c>
      <c r="N24" s="381">
        <f xml:space="preserve">     VUL!Q30</f>
        <v>230.53974385752002</v>
      </c>
      <c r="O24" s="381">
        <f xml:space="preserve">     VUL!R30</f>
        <v>262.80339871644583</v>
      </c>
      <c r="P24" s="381">
        <f xml:space="preserve">     VUL!S30</f>
        <v>243.40617028041379</v>
      </c>
      <c r="Q24" s="381">
        <f xml:space="preserve">     VUL!T30</f>
        <v>322.46191708426198</v>
      </c>
      <c r="R24" s="823">
        <f xml:space="preserve">     VUL!U30</f>
        <v>362.57914708524288</v>
      </c>
    </row>
    <row r="25" spans="3:22">
      <c r="C25" s="1147" t="s">
        <v>237</v>
      </c>
      <c r="D25" s="1160" t="s">
        <v>232</v>
      </c>
      <c r="E25" s="640">
        <f>BUSCAR!H84</f>
        <v>893.92406620350357</v>
      </c>
      <c r="F25" s="381">
        <f>BUSCAR!I84</f>
        <v>833.26170597533655</v>
      </c>
      <c r="G25" s="381">
        <f>BUSCAR!J84</f>
        <v>949.63080030072365</v>
      </c>
      <c r="H25" s="381">
        <f>BUSCAR!K84</f>
        <v>739.29379830992366</v>
      </c>
      <c r="I25" s="381">
        <f>BUSCAR!L84</f>
        <v>1075.0798542845882</v>
      </c>
      <c r="J25" s="381">
        <f>BUSCAR!M84</f>
        <v>923.4822001424634</v>
      </c>
      <c r="K25" s="381">
        <f>BUSCAR!N84</f>
        <v>911.94490590925056</v>
      </c>
      <c r="L25" s="381">
        <f>BUSCAR!O84</f>
        <v>844.13671154239887</v>
      </c>
      <c r="M25" s="381">
        <f>BUSCAR!P84</f>
        <v>1080.0186144809552</v>
      </c>
      <c r="N25" s="381">
        <f>BUSCAR!Q84</f>
        <v>1137.18076447564</v>
      </c>
      <c r="O25" s="381">
        <f>BUSCAR!R84</f>
        <v>1600.3577233627066</v>
      </c>
      <c r="P25" s="381">
        <f>BUSCAR!S84</f>
        <v>1337.7955227701977</v>
      </c>
      <c r="Q25" s="381">
        <f>BUSCAR!T84</f>
        <v>1270.8265252994058</v>
      </c>
      <c r="R25" s="823">
        <f>BUSCAR!U84</f>
        <v>1213.5952176589781</v>
      </c>
    </row>
    <row r="26" spans="3:22">
      <c r="C26" s="1147" t="s">
        <v>238</v>
      </c>
      <c r="D26" s="1160" t="s">
        <v>232</v>
      </c>
      <c r="E26" s="640">
        <f>150</f>
        <v>150</v>
      </c>
      <c r="F26" s="381">
        <f>150</f>
        <v>150</v>
      </c>
      <c r="G26" s="381">
        <f>150</f>
        <v>150</v>
      </c>
      <c r="H26" s="381">
        <f>150</f>
        <v>150</v>
      </c>
      <c r="I26" s="381">
        <f>150</f>
        <v>150</v>
      </c>
      <c r="J26" s="381">
        <f>150</f>
        <v>150</v>
      </c>
      <c r="K26" s="381">
        <f>150</f>
        <v>150</v>
      </c>
      <c r="L26" s="381">
        <f>150</f>
        <v>150</v>
      </c>
      <c r="M26" s="381">
        <f>150</f>
        <v>150</v>
      </c>
      <c r="N26" s="381">
        <f>150</f>
        <v>150</v>
      </c>
      <c r="O26" s="381">
        <f>150</f>
        <v>150</v>
      </c>
      <c r="P26" s="381">
        <f>150</f>
        <v>150</v>
      </c>
      <c r="Q26" s="381">
        <f>150</f>
        <v>150</v>
      </c>
      <c r="R26" s="823">
        <f>150</f>
        <v>150</v>
      </c>
    </row>
    <row r="27" spans="3:22">
      <c r="C27" s="1147" t="s">
        <v>239</v>
      </c>
      <c r="D27" s="1160" t="s">
        <v>232</v>
      </c>
      <c r="E27" s="640">
        <f>'ROUTES (v2)'!H180</f>
        <v>2921.5760903009777</v>
      </c>
      <c r="F27" s="381">
        <f>'ROUTES (v2)'!I180</f>
        <v>2943.2767061248092</v>
      </c>
      <c r="G27" s="381">
        <f>'ROUTES (v2)'!J180</f>
        <v>2791.7987173927809</v>
      </c>
      <c r="H27" s="381">
        <f>'ROUTES (v2)'!K180</f>
        <v>2270.020445784593</v>
      </c>
      <c r="I27" s="381">
        <f>'ROUTES (v2)'!L180</f>
        <v>1869.6819755915747</v>
      </c>
      <c r="J27" s="381">
        <f>'ROUTES (v2)'!M180</f>
        <v>1946.3078084767933</v>
      </c>
      <c r="K27" s="381">
        <f>'ROUTES (v2)'!N180</f>
        <v>1961.2779303223633</v>
      </c>
      <c r="L27" s="381">
        <f>'ROUTES (v2)'!O180</f>
        <v>2131.7391369861102</v>
      </c>
      <c r="M27" s="381">
        <f>'ROUTES (v2)'!P180</f>
        <v>1790.0841589467275</v>
      </c>
      <c r="N27" s="381">
        <f>'ROUTES (v2)'!Q180</f>
        <v>2030.5112184126278</v>
      </c>
      <c r="O27" s="381">
        <f>'ROUTES (v2)'!R180</f>
        <v>1762.6335539062406</v>
      </c>
      <c r="P27" s="381">
        <f>'ROUTES (v2)'!S180</f>
        <v>1842.1336451530829</v>
      </c>
      <c r="Q27" s="381">
        <f>'ROUTES (v2)'!T180</f>
        <v>1439.8980971236003</v>
      </c>
      <c r="R27" s="823">
        <f>'ROUTES (v2)'!U180</f>
        <v>1412.3268368525873</v>
      </c>
    </row>
    <row r="28" spans="3:22">
      <c r="C28" s="1148" t="s">
        <v>240</v>
      </c>
      <c r="D28" s="1161" t="s">
        <v>232</v>
      </c>
      <c r="E28" s="642">
        <f>MR_FER!H68</f>
        <v>432.39</v>
      </c>
      <c r="F28" s="382">
        <f>MR_FER!I68</f>
        <v>497</v>
      </c>
      <c r="G28" s="382">
        <f>MR_FER!J68</f>
        <v>825</v>
      </c>
      <c r="H28" s="382">
        <f>MR_FER!K68</f>
        <v>900</v>
      </c>
      <c r="I28" s="382">
        <f>MR_FER!L68</f>
        <v>1052.8</v>
      </c>
      <c r="J28" s="382">
        <f>MR_FER!M68</f>
        <v>1030.95533204</v>
      </c>
      <c r="K28" s="382">
        <f>MR_FER!N68</f>
        <v>905.09022488999994</v>
      </c>
      <c r="L28" s="382">
        <f>MR_FER!O68</f>
        <v>1194.5505743100002</v>
      </c>
      <c r="M28" s="382">
        <f>MR_FER!P68</f>
        <v>1335.3830631600001</v>
      </c>
      <c r="N28" s="382">
        <f>MR_FER!Q68</f>
        <v>1730.65923608</v>
      </c>
      <c r="O28" s="382">
        <f>MR_FER!R68</f>
        <v>2293.7650818500001</v>
      </c>
      <c r="P28" s="382">
        <f>MR_FER!S68</f>
        <v>1930.6761367999998</v>
      </c>
      <c r="Q28" s="382">
        <f>MR_FER!T68</f>
        <v>1943.1744906299998</v>
      </c>
      <c r="R28" s="824">
        <f>MR_FER!U68</f>
        <v>1943.1744906299998</v>
      </c>
    </row>
    <row r="29" spans="3:22">
      <c r="E29" s="380"/>
      <c r="F29" s="380"/>
      <c r="G29" s="380"/>
      <c r="H29" s="380"/>
      <c r="I29" s="380"/>
      <c r="J29" s="380"/>
      <c r="K29" s="380"/>
      <c r="L29" s="380"/>
      <c r="M29" s="380"/>
      <c r="N29" s="380"/>
      <c r="O29" s="380"/>
      <c r="P29" s="380"/>
      <c r="Q29" s="380"/>
      <c r="R29" s="380"/>
    </row>
    <row r="30" spans="3:22">
      <c r="C30" s="1272" t="s">
        <v>860</v>
      </c>
      <c r="E30" s="380"/>
      <c r="F30" s="380"/>
      <c r="G30" s="380"/>
      <c r="H30" s="380"/>
      <c r="I30" s="380"/>
      <c r="J30" s="380"/>
      <c r="K30" s="380"/>
      <c r="L30" s="380"/>
      <c r="M30" s="380"/>
      <c r="N30" s="380"/>
      <c r="O30" s="380"/>
      <c r="P30" s="380"/>
      <c r="Q30" s="380"/>
      <c r="R30" s="380"/>
    </row>
    <row r="31" spans="3:22">
      <c r="C31" s="1273"/>
      <c r="D31" s="1274" t="s">
        <v>503</v>
      </c>
      <c r="E31" s="1263">
        <v>2011</v>
      </c>
      <c r="F31" s="1264">
        <v>2012</v>
      </c>
      <c r="G31" s="1264">
        <v>2013</v>
      </c>
      <c r="H31" s="1264">
        <v>2014</v>
      </c>
      <c r="I31" s="1264">
        <v>2015</v>
      </c>
      <c r="J31" s="1264">
        <v>2016</v>
      </c>
      <c r="K31" s="1265">
        <v>2017</v>
      </c>
      <c r="L31" s="1265">
        <v>2018</v>
      </c>
      <c r="M31" s="1265">
        <v>2019</v>
      </c>
      <c r="N31" s="1265">
        <v>2020</v>
      </c>
      <c r="O31" s="1265">
        <v>2021</v>
      </c>
      <c r="P31" s="1265">
        <v>2022</v>
      </c>
      <c r="Q31" s="1265">
        <v>2023</v>
      </c>
      <c r="R31" s="1266">
        <v>2024</v>
      </c>
      <c r="T31" s="1275" t="s">
        <v>1185</v>
      </c>
    </row>
    <row r="32" spans="3:22">
      <c r="C32" s="1276" t="s">
        <v>861</v>
      </c>
      <c r="D32" s="1277" t="s">
        <v>862</v>
      </c>
      <c r="E32" s="1269">
        <v>90.605999999999995</v>
      </c>
      <c r="F32" s="1270">
        <v>91.585999999999999</v>
      </c>
      <c r="G32" s="1270">
        <v>92.271000000000001</v>
      </c>
      <c r="H32" s="1270">
        <v>92.798000000000002</v>
      </c>
      <c r="I32" s="1270">
        <v>93.85</v>
      </c>
      <c r="J32" s="1270">
        <v>94.335999999999999</v>
      </c>
      <c r="K32" s="1270">
        <v>94.888999999999996</v>
      </c>
      <c r="L32" s="1270">
        <v>95.947000000000003</v>
      </c>
      <c r="M32" s="1270">
        <v>97.108000000000004</v>
      </c>
      <c r="N32" s="1270">
        <v>100</v>
      </c>
      <c r="O32" s="1270">
        <v>101.22199999999999</v>
      </c>
      <c r="P32" s="1270">
        <v>104.482</v>
      </c>
      <c r="Q32" s="1270">
        <v>110.023</v>
      </c>
      <c r="R32" s="1233">
        <v>112.58324030948074</v>
      </c>
      <c r="T32" s="1301">
        <f>R32/H32-1</f>
        <v>0.21320761556801582</v>
      </c>
      <c r="U32" s="315"/>
      <c r="V32" s="315"/>
    </row>
    <row r="33" spans="3:22">
      <c r="C33" s="1278" t="s">
        <v>863</v>
      </c>
      <c r="D33" s="1279" t="s">
        <v>322</v>
      </c>
      <c r="E33" s="1299"/>
      <c r="F33" s="624">
        <v>1.0816060746529077E-2</v>
      </c>
      <c r="G33" s="624">
        <v>7.479309064704287E-3</v>
      </c>
      <c r="H33" s="624">
        <v>5.711436962859473E-3</v>
      </c>
      <c r="I33" s="624">
        <v>1.1336451216620969E-2</v>
      </c>
      <c r="J33" s="624">
        <v>5.1784762919553362E-3</v>
      </c>
      <c r="K33" s="624">
        <v>5.8620251017638125E-3</v>
      </c>
      <c r="L33" s="624">
        <v>1.1149869847927762E-2</v>
      </c>
      <c r="M33" s="624">
        <v>1.2100430445975308E-2</v>
      </c>
      <c r="N33" s="624">
        <v>2.9781274457305162E-2</v>
      </c>
      <c r="O33" s="624">
        <v>1.2219999999999898E-2</v>
      </c>
      <c r="P33" s="624">
        <v>3.2206437335757121E-2</v>
      </c>
      <c r="Q33" s="624">
        <v>5.3033058325836047E-2</v>
      </c>
      <c r="R33" s="1300">
        <v>2.3270046349224582E-2</v>
      </c>
      <c r="T33" s="315"/>
      <c r="U33" s="315"/>
      <c r="V33" s="315"/>
    </row>
    <row r="34" spans="3:22">
      <c r="C34" s="1280" t="s">
        <v>251</v>
      </c>
      <c r="D34" s="1151"/>
      <c r="E34" s="1531"/>
      <c r="F34" s="1532">
        <v>3.7383117762125107E-2</v>
      </c>
      <c r="G34" s="1532">
        <v>7.6293683455500805E-2</v>
      </c>
      <c r="H34" s="1532">
        <v>-0.11355606810900487</v>
      </c>
      <c r="I34" s="1532">
        <v>-5.1965914281038361E-2</v>
      </c>
      <c r="J34" s="1532">
        <v>-3.1839822206921276E-2</v>
      </c>
      <c r="K34" s="1532">
        <v>3.8843229407847998E-2</v>
      </c>
      <c r="L34" s="1532">
        <v>6.4424986969837672E-2</v>
      </c>
      <c r="M34" s="1532">
        <v>6.2523577900115423E-2</v>
      </c>
      <c r="N34" s="1532">
        <v>-0.14358450898509922</v>
      </c>
      <c r="O34" s="1532">
        <v>5.8636087829557981E-2</v>
      </c>
      <c r="P34" s="1532">
        <v>0.11652385036917634</v>
      </c>
      <c r="Q34" s="1532">
        <v>8.9689939992697365E-2</v>
      </c>
      <c r="R34" s="1533"/>
      <c r="T34" s="315"/>
      <c r="U34" s="315"/>
      <c r="V34" s="315"/>
    </row>
    <row r="35" spans="3:22">
      <c r="C35" s="1281"/>
      <c r="E35" s="380"/>
      <c r="F35" s="380"/>
      <c r="G35" s="380"/>
      <c r="H35" s="380"/>
      <c r="I35" s="380"/>
      <c r="J35" s="380"/>
      <c r="K35" s="380"/>
      <c r="L35" s="380"/>
      <c r="M35" s="380"/>
      <c r="N35" s="380"/>
      <c r="O35" s="380"/>
      <c r="P35" s="380"/>
      <c r="Q35" s="380"/>
      <c r="R35" s="380"/>
      <c r="T35" s="315"/>
      <c r="U35" s="315"/>
      <c r="V35" s="315"/>
    </row>
    <row r="36" spans="3:22">
      <c r="C36" s="1281"/>
      <c r="E36" s="380"/>
      <c r="F36" s="380"/>
      <c r="G36" s="380"/>
      <c r="H36" s="380"/>
      <c r="I36" s="380"/>
      <c r="J36" s="380"/>
      <c r="K36" s="380"/>
      <c r="L36" s="380"/>
      <c r="M36" s="380"/>
      <c r="N36" s="380"/>
      <c r="O36" s="380"/>
      <c r="P36" s="380"/>
      <c r="Q36" s="380"/>
      <c r="R36" s="380"/>
      <c r="T36" s="315"/>
      <c r="U36" s="315"/>
      <c r="V36" s="315"/>
    </row>
    <row r="37" spans="3:22">
      <c r="C37" s="1281" t="s">
        <v>1244</v>
      </c>
      <c r="E37" s="1282">
        <v>2011</v>
      </c>
      <c r="F37" s="1283">
        <v>2012</v>
      </c>
      <c r="G37" s="1283">
        <v>2013</v>
      </c>
      <c r="H37" s="1283">
        <v>2014</v>
      </c>
      <c r="I37" s="1283">
        <v>2015</v>
      </c>
      <c r="J37" s="1283">
        <v>2016</v>
      </c>
      <c r="K37" s="1284">
        <v>2017</v>
      </c>
      <c r="L37" s="1284">
        <v>2018</v>
      </c>
      <c r="M37" s="1284">
        <v>2019</v>
      </c>
      <c r="N37" s="1284">
        <v>2020</v>
      </c>
      <c r="O37" s="1284">
        <v>2021</v>
      </c>
      <c r="P37" s="1284">
        <v>2022</v>
      </c>
      <c r="Q37" s="1284">
        <v>2023</v>
      </c>
      <c r="R37" s="1285">
        <v>2024</v>
      </c>
      <c r="T37" s="315"/>
      <c r="U37" s="315"/>
      <c r="V37" s="315"/>
    </row>
    <row r="38" spans="3:22">
      <c r="C38" s="1281"/>
      <c r="E38" s="867">
        <v>0.65878494268799992</v>
      </c>
      <c r="F38" s="868">
        <v>0.70181976274247138</v>
      </c>
      <c r="G38" s="868">
        <v>0.68429963540416505</v>
      </c>
      <c r="H38" s="868">
        <v>0.65425415486854177</v>
      </c>
      <c r="I38" s="868">
        <v>0.59676131932969734</v>
      </c>
      <c r="J38" s="868">
        <v>0.56531320950763297</v>
      </c>
      <c r="K38" s="868">
        <v>0.59147079209613418</v>
      </c>
      <c r="L38" s="868">
        <v>0.67509222681303482</v>
      </c>
      <c r="M38" s="868">
        <v>0.67807876342941387</v>
      </c>
      <c r="N38" s="868">
        <v>0.59681291912637302</v>
      </c>
      <c r="O38" s="868">
        <v>0.7112913103938312</v>
      </c>
      <c r="P38" s="868">
        <v>1.0291637672153515</v>
      </c>
      <c r="Q38" s="868">
        <v>1.105928692528791</v>
      </c>
      <c r="R38" s="842">
        <v>0.99999999999999978</v>
      </c>
      <c r="T38" s="315"/>
      <c r="U38" s="315"/>
      <c r="V38" s="315"/>
    </row>
    <row r="39" spans="3:22">
      <c r="C39" s="1405" t="s">
        <v>1245</v>
      </c>
      <c r="T39" s="315"/>
      <c r="U39" s="315"/>
      <c r="V39" s="315"/>
    </row>
    <row r="40" spans="3:22">
      <c r="C40" s="1281"/>
      <c r="T40" s="315"/>
      <c r="U40" s="315"/>
      <c r="V40" s="315"/>
    </row>
    <row r="41" spans="3:22">
      <c r="C41" s="1281"/>
      <c r="T41" s="315"/>
      <c r="U41" s="315"/>
      <c r="V41" s="315"/>
    </row>
    <row r="42" spans="3:22">
      <c r="C42" s="1286" t="s">
        <v>1276</v>
      </c>
      <c r="D42" s="1287"/>
      <c r="E42" s="1263">
        <v>2011</v>
      </c>
      <c r="F42" s="1264">
        <v>2012</v>
      </c>
      <c r="G42" s="1264">
        <v>2013</v>
      </c>
      <c r="H42" s="1264">
        <v>2014</v>
      </c>
      <c r="I42" s="1264">
        <v>2015</v>
      </c>
      <c r="J42" s="1264">
        <v>2016</v>
      </c>
      <c r="K42" s="1265">
        <v>2017</v>
      </c>
      <c r="L42" s="1265">
        <v>2018</v>
      </c>
      <c r="M42" s="1265">
        <v>2019</v>
      </c>
      <c r="N42" s="1265">
        <v>2020</v>
      </c>
      <c r="O42" s="1265">
        <v>2021</v>
      </c>
      <c r="P42" s="1265">
        <v>2022</v>
      </c>
      <c r="Q42" s="1265">
        <v>2023</v>
      </c>
      <c r="R42" s="1266">
        <v>2024</v>
      </c>
      <c r="T42" s="1304" t="s">
        <v>1185</v>
      </c>
      <c r="U42" s="1304" t="s">
        <v>1174</v>
      </c>
      <c r="V42" s="315"/>
    </row>
    <row r="43" spans="3:22">
      <c r="C43" s="1288" t="s">
        <v>250</v>
      </c>
      <c r="D43" s="1289"/>
      <c r="E43" s="1269">
        <v>90.605999999999995</v>
      </c>
      <c r="F43" s="1270">
        <v>91.585999999999999</v>
      </c>
      <c r="G43" s="1270">
        <v>92.271000000000001</v>
      </c>
      <c r="H43" s="1270">
        <v>92.798000000000002</v>
      </c>
      <c r="I43" s="1270">
        <v>93.85</v>
      </c>
      <c r="J43" s="1270">
        <v>94.335999999999999</v>
      </c>
      <c r="K43" s="1270">
        <v>94.888999999999996</v>
      </c>
      <c r="L43" s="1270">
        <v>95.947000000000003</v>
      </c>
      <c r="M43" s="1270">
        <v>97.108000000000004</v>
      </c>
      <c r="N43" s="1270">
        <v>100</v>
      </c>
      <c r="O43" s="1270">
        <v>101.22199999999999</v>
      </c>
      <c r="P43" s="1270">
        <v>104.482</v>
      </c>
      <c r="Q43" s="1270">
        <v>110.023</v>
      </c>
      <c r="R43" s="1233">
        <v>112.58324030948074</v>
      </c>
      <c r="T43" s="1295">
        <f>R43/H43-1</f>
        <v>0.21320761556801582</v>
      </c>
      <c r="U43" s="1305">
        <f>R43/K43-1</f>
        <v>0.18647304017832145</v>
      </c>
      <c r="V43" s="315"/>
    </row>
    <row r="44" spans="3:22">
      <c r="C44" s="1147" t="s">
        <v>252</v>
      </c>
      <c r="E44" s="637">
        <f t="shared" ref="E44:R44" si="7">E13</f>
        <v>8508.0309092552034</v>
      </c>
      <c r="F44" s="380">
        <f t="shared" si="7"/>
        <v>8819.9495114910478</v>
      </c>
      <c r="G44" s="380">
        <f t="shared" si="7"/>
        <v>9089.2970519770079</v>
      </c>
      <c r="H44" s="380">
        <f t="shared" si="7"/>
        <v>8003.4372302037718</v>
      </c>
      <c r="I44" s="380">
        <f t="shared" si="7"/>
        <v>7365.9662422998254</v>
      </c>
      <c r="J44" s="380">
        <f t="shared" si="7"/>
        <v>7168.5046848100819</v>
      </c>
      <c r="K44" s="380">
        <f t="shared" si="7"/>
        <v>7342.1709427900005</v>
      </c>
      <c r="L44" s="380">
        <f t="shared" si="7"/>
        <v>7890.2289239355468</v>
      </c>
      <c r="M44" s="380">
        <f t="shared" si="7"/>
        <v>7778.1156164204667</v>
      </c>
      <c r="N44" s="380">
        <f t="shared" si="7"/>
        <v>7225.9313894506959</v>
      </c>
      <c r="O44" s="380">
        <f t="shared" si="7"/>
        <v>7342.2035140844309</v>
      </c>
      <c r="P44" s="380">
        <f t="shared" si="7"/>
        <v>7874.733476608013</v>
      </c>
      <c r="Q44" s="380">
        <f t="shared" si="7"/>
        <v>8033.0888784280769</v>
      </c>
      <c r="R44" s="630">
        <f t="shared" si="7"/>
        <v>8185.5536056974652</v>
      </c>
      <c r="T44" s="1299">
        <f>R44/H44-1</f>
        <v>2.2754770263757829E-2</v>
      </c>
      <c r="U44" s="1306">
        <f>R44/K44-1</f>
        <v>0.11486829569606583</v>
      </c>
      <c r="V44" s="315"/>
    </row>
    <row r="45" spans="3:22">
      <c r="C45" s="1147" t="s">
        <v>1176</v>
      </c>
      <c r="E45" s="637">
        <f t="shared" ref="E45:R45" si="8">E14</f>
        <v>6840.489815951285</v>
      </c>
      <c r="F45" s="380">
        <f t="shared" si="8"/>
        <v>7020.6035337964859</v>
      </c>
      <c r="G45" s="380">
        <f t="shared" si="8"/>
        <v>7191.8119973721423</v>
      </c>
      <c r="H45" s="380">
        <f t="shared" si="8"/>
        <v>6231.0832521794418</v>
      </c>
      <c r="I45" s="380">
        <f t="shared" si="8"/>
        <v>5651.0124381016676</v>
      </c>
      <c r="J45" s="380">
        <f t="shared" si="8"/>
        <v>5545.9586998648228</v>
      </c>
      <c r="K45" s="380">
        <f t="shared" si="8"/>
        <v>5645.6152810376425</v>
      </c>
      <c r="L45" s="380">
        <f t="shared" si="8"/>
        <v>6069.3153157139805</v>
      </c>
      <c r="M45" s="380">
        <f t="shared" si="8"/>
        <v>5943.2564426751396</v>
      </c>
      <c r="N45" s="380">
        <f t="shared" si="8"/>
        <v>5575.7419119659917</v>
      </c>
      <c r="O45" s="380">
        <f t="shared" si="8"/>
        <v>5527.3652552322374</v>
      </c>
      <c r="P45" s="380">
        <f t="shared" si="8"/>
        <v>5586.0326550559603</v>
      </c>
      <c r="Q45" s="380">
        <f t="shared" si="8"/>
        <v>5349.7603987526891</v>
      </c>
      <c r="R45" s="630">
        <f t="shared" si="8"/>
        <v>5639.3363339323714</v>
      </c>
      <c r="T45" s="315"/>
      <c r="U45" s="315"/>
      <c r="V45" s="315"/>
    </row>
    <row r="46" spans="3:22" ht="15.65" customHeight="1">
      <c r="C46" s="1504" t="s">
        <v>1173</v>
      </c>
      <c r="D46" s="1505"/>
      <c r="E46" s="633">
        <f>E44*($R$32/E32)</f>
        <v>10571.724702747817</v>
      </c>
      <c r="F46" s="633">
        <f t="shared" ref="F46:R46" si="9">F44*($R$43/F43)</f>
        <v>10842.033666386609</v>
      </c>
      <c r="G46" s="633">
        <f t="shared" si="9"/>
        <v>11090.185586446254</v>
      </c>
      <c r="H46" s="633">
        <f t="shared" si="9"/>
        <v>9709.8309984038024</v>
      </c>
      <c r="I46" s="633">
        <f t="shared" si="9"/>
        <v>8836.2743480912541</v>
      </c>
      <c r="J46" s="633">
        <f t="shared" si="9"/>
        <v>8555.0954629156622</v>
      </c>
      <c r="K46" s="633">
        <f t="shared" si="9"/>
        <v>8711.2878800009839</v>
      </c>
      <c r="L46" s="633">
        <f t="shared" si="9"/>
        <v>9258.3148930164716</v>
      </c>
      <c r="M46" s="633">
        <f t="shared" si="9"/>
        <v>9017.6448860896144</v>
      </c>
      <c r="N46" s="633">
        <f t="shared" si="9"/>
        <v>8135.1877007834782</v>
      </c>
      <c r="O46" s="633">
        <f t="shared" si="9"/>
        <v>8166.2984591025815</v>
      </c>
      <c r="P46" s="633">
        <f t="shared" si="9"/>
        <v>8485.3181540367968</v>
      </c>
      <c r="Q46" s="633">
        <f t="shared" si="9"/>
        <v>8220.0192289565384</v>
      </c>
      <c r="R46" s="634">
        <f t="shared" si="9"/>
        <v>8185.5536056974652</v>
      </c>
      <c r="T46" s="315"/>
      <c r="U46" s="315"/>
      <c r="V46" s="315"/>
    </row>
    <row r="47" spans="3:22" ht="15.65" customHeight="1">
      <c r="C47" s="1291" t="s">
        <v>1274</v>
      </c>
      <c r="D47" s="1290"/>
      <c r="E47" s="380">
        <f t="shared" ref="E47:R47" si="10">E45*($R$43/E43)</f>
        <v>8499.7076218329839</v>
      </c>
      <c r="F47" s="380">
        <f t="shared" si="10"/>
        <v>8630.1650335531576</v>
      </c>
      <c r="G47" s="380">
        <f t="shared" si="10"/>
        <v>8774.9942924727657</v>
      </c>
      <c r="H47" s="380">
        <f t="shared" si="10"/>
        <v>7559.5976547824184</v>
      </c>
      <c r="I47" s="380">
        <f t="shared" si="10"/>
        <v>6779.0015057076689</v>
      </c>
      <c r="J47" s="380">
        <f t="shared" si="10"/>
        <v>6618.7033693747535</v>
      </c>
      <c r="K47" s="380">
        <f t="shared" si="10"/>
        <v>6698.3703261699202</v>
      </c>
      <c r="L47" s="380">
        <f t="shared" si="10"/>
        <v>7121.6732644380654</v>
      </c>
      <c r="M47" s="380">
        <f t="shared" si="10"/>
        <v>6890.3804867422341</v>
      </c>
      <c r="N47" s="380">
        <f t="shared" si="10"/>
        <v>6277.3509157851086</v>
      </c>
      <c r="O47" s="380">
        <f t="shared" si="10"/>
        <v>6147.7612654174527</v>
      </c>
      <c r="P47" s="380">
        <f t="shared" si="10"/>
        <v>6019.1579102694432</v>
      </c>
      <c r="Q47" s="380">
        <f t="shared" si="10"/>
        <v>5474.2495711889105</v>
      </c>
      <c r="R47" s="630">
        <f t="shared" si="10"/>
        <v>5639.3363339323714</v>
      </c>
      <c r="T47" s="1304" t="s">
        <v>1185</v>
      </c>
      <c r="U47" s="1304" t="s">
        <v>1174</v>
      </c>
      <c r="V47" s="1304" t="s">
        <v>1175</v>
      </c>
    </row>
    <row r="48" spans="3:22" ht="15.65" customHeight="1">
      <c r="C48" s="1145" t="s">
        <v>253</v>
      </c>
      <c r="D48" s="1146"/>
      <c r="E48" s="636">
        <f t="shared" ref="E48:R48" si="11">E4*($R$43/E$43)</f>
        <v>371.40123528482133</v>
      </c>
      <c r="F48" s="633">
        <f t="shared" si="11"/>
        <v>381.03348728078686</v>
      </c>
      <c r="G48" s="633">
        <f t="shared" si="11"/>
        <v>388.32663602903364</v>
      </c>
      <c r="H48" s="633">
        <f t="shared" si="11"/>
        <v>392.67658149150452</v>
      </c>
      <c r="I48" s="633">
        <f t="shared" si="11"/>
        <v>378.69318028061639</v>
      </c>
      <c r="J48" s="633">
        <f t="shared" si="11"/>
        <v>422.07163807915413</v>
      </c>
      <c r="K48" s="633">
        <f t="shared" si="11"/>
        <v>449.62363879410049</v>
      </c>
      <c r="L48" s="633">
        <f t="shared" si="11"/>
        <v>484.02081101373523</v>
      </c>
      <c r="M48" s="633">
        <f t="shared" si="11"/>
        <v>445.42194964179959</v>
      </c>
      <c r="N48" s="633">
        <f t="shared" si="11"/>
        <v>429.98844441581525</v>
      </c>
      <c r="O48" s="633">
        <f t="shared" si="11"/>
        <v>562.74386709313308</v>
      </c>
      <c r="P48" s="633">
        <f t="shared" si="11"/>
        <v>446.91955537311537</v>
      </c>
      <c r="Q48" s="633">
        <f t="shared" si="11"/>
        <v>343.2892115826852</v>
      </c>
      <c r="R48" s="634">
        <f t="shared" si="11"/>
        <v>390.64881130054675</v>
      </c>
      <c r="T48" s="1297">
        <f t="shared" ref="T48:T54" si="12">R48/H48-1</f>
        <v>-5.1639702659519449E-3</v>
      </c>
      <c r="U48" s="1297">
        <f t="shared" ref="U48:U56" si="13">R48/K48-1</f>
        <v>-0.13116487302964186</v>
      </c>
      <c r="V48" s="663">
        <f t="shared" ref="V48:V56" si="14">R48/Q48-1</f>
        <v>0.13795831071858333</v>
      </c>
    </row>
    <row r="49" spans="3:22" ht="15.65" customHeight="1">
      <c r="C49" s="1147" t="s">
        <v>231</v>
      </c>
      <c r="E49" s="637">
        <f t="shared" ref="E49:R49" si="15">E5*($R$43/E$43)</f>
        <v>2889.6896505988357</v>
      </c>
      <c r="F49" s="380">
        <f t="shared" si="15"/>
        <v>3001.6742415256108</v>
      </c>
      <c r="G49" s="380">
        <f t="shared" si="15"/>
        <v>3186.9797278544547</v>
      </c>
      <c r="H49" s="380">
        <f t="shared" si="15"/>
        <v>2839.7053193129764</v>
      </c>
      <c r="I49" s="380">
        <f t="shared" si="15"/>
        <v>2456.070295330228</v>
      </c>
      <c r="J49" s="380">
        <f t="shared" si="15"/>
        <v>2333.2700876162771</v>
      </c>
      <c r="K49" s="380">
        <f t="shared" si="15"/>
        <v>2476.0275276375201</v>
      </c>
      <c r="L49" s="380">
        <f t="shared" si="15"/>
        <v>2675.3026286709737</v>
      </c>
      <c r="M49" s="380">
        <f t="shared" si="15"/>
        <v>2984.6914540061707</v>
      </c>
      <c r="N49" s="380">
        <f t="shared" si="15"/>
        <v>2441.857449342328</v>
      </c>
      <c r="O49" s="380">
        <f t="shared" si="15"/>
        <v>2663.82152989618</v>
      </c>
      <c r="P49" s="380">
        <f t="shared" si="15"/>
        <v>2825.427816891131</v>
      </c>
      <c r="Q49" s="380">
        <f t="shared" si="15"/>
        <v>2965.3720682793437</v>
      </c>
      <c r="R49" s="630">
        <f t="shared" si="15"/>
        <v>3132.9739331107448</v>
      </c>
      <c r="T49" s="1297">
        <f t="shared" si="12"/>
        <v>0.10327431223346806</v>
      </c>
      <c r="U49" s="1297">
        <f t="shared" si="13"/>
        <v>0.26532273900042003</v>
      </c>
      <c r="V49" s="197">
        <f t="shared" si="14"/>
        <v>5.6519674756581928E-2</v>
      </c>
    </row>
    <row r="50" spans="3:22" ht="15.65" customHeight="1">
      <c r="C50" s="1147" t="s">
        <v>234</v>
      </c>
      <c r="E50" s="637">
        <f>E6*($R$38/E$38)</f>
        <v>2531.2374118630464</v>
      </c>
      <c r="F50" s="380">
        <f t="shared" ref="F50:R50" si="16">F6*($R$38/F$38)</f>
        <v>2563.8291669977111</v>
      </c>
      <c r="G50" s="380">
        <f t="shared" si="16"/>
        <v>2772.8862568868121</v>
      </c>
      <c r="H50" s="380">
        <f t="shared" si="16"/>
        <v>2708.9686245560724</v>
      </c>
      <c r="I50" s="380">
        <f t="shared" si="16"/>
        <v>2873.7683704507722</v>
      </c>
      <c r="J50" s="380">
        <f t="shared" si="16"/>
        <v>2870.1717165930663</v>
      </c>
      <c r="K50" s="380">
        <f t="shared" si="16"/>
        <v>2868.3676090578774</v>
      </c>
      <c r="L50" s="380">
        <f t="shared" si="16"/>
        <v>2697.2812541742733</v>
      </c>
      <c r="M50" s="380">
        <f t="shared" si="16"/>
        <v>2705.9676142421031</v>
      </c>
      <c r="N50" s="380">
        <f t="shared" si="16"/>
        <v>2765.0029424635873</v>
      </c>
      <c r="O50" s="380">
        <f t="shared" si="16"/>
        <v>2551.4697457042525</v>
      </c>
      <c r="P50" s="380">
        <f t="shared" si="16"/>
        <v>2223.8451201451435</v>
      </c>
      <c r="Q50" s="380">
        <f t="shared" si="16"/>
        <v>2426.3123814427399</v>
      </c>
      <c r="R50" s="630">
        <f t="shared" si="16"/>
        <v>2546.2172717650942</v>
      </c>
      <c r="T50" s="1297">
        <f t="shared" si="12"/>
        <v>-6.007871457634506E-2</v>
      </c>
      <c r="U50" s="1297">
        <f t="shared" si="13"/>
        <v>-0.11231138445277389</v>
      </c>
      <c r="V50" s="197">
        <f t="shared" si="14"/>
        <v>4.9418570848266619E-2</v>
      </c>
    </row>
    <row r="51" spans="3:22" ht="15.65" customHeight="1">
      <c r="C51" s="1147" t="s">
        <v>235</v>
      </c>
      <c r="E51" s="637">
        <f t="shared" ref="E51:R51" si="17">E7*($R$43/E$43)</f>
        <v>232.96702305586689</v>
      </c>
      <c r="F51" s="380">
        <f t="shared" si="17"/>
        <v>227.75898015640749</v>
      </c>
      <c r="G51" s="380">
        <f t="shared" si="17"/>
        <v>221.37101534522765</v>
      </c>
      <c r="H51" s="380">
        <f t="shared" si="17"/>
        <v>230.55809841124679</v>
      </c>
      <c r="I51" s="380">
        <f t="shared" si="17"/>
        <v>257.88068798469794</v>
      </c>
      <c r="J51" s="380">
        <f t="shared" si="17"/>
        <v>292.40325632889665</v>
      </c>
      <c r="K51" s="380">
        <f t="shared" si="17"/>
        <v>318.79830584349236</v>
      </c>
      <c r="L51" s="380">
        <f t="shared" si="17"/>
        <v>303.42250455696512</v>
      </c>
      <c r="M51" s="380">
        <f t="shared" si="17"/>
        <v>306.94149223977632</v>
      </c>
      <c r="N51" s="380">
        <f t="shared" si="17"/>
        <v>178.97379239771575</v>
      </c>
      <c r="O51" s="380">
        <f t="shared" si="17"/>
        <v>174.46875309619165</v>
      </c>
      <c r="P51" s="380">
        <f t="shared" si="17"/>
        <v>145.80678904840298</v>
      </c>
      <c r="Q51" s="380">
        <f t="shared" si="17"/>
        <v>134.31927138872902</v>
      </c>
      <c r="R51" s="630">
        <f t="shared" si="17"/>
        <v>121.45915802243005</v>
      </c>
      <c r="T51" s="1297">
        <f t="shared" si="12"/>
        <v>-0.47319500438547524</v>
      </c>
      <c r="U51" s="1297">
        <f t="shared" si="13"/>
        <v>-0.61900939937222255</v>
      </c>
      <c r="V51" s="197">
        <f t="shared" si="14"/>
        <v>-9.5742876158708023E-2</v>
      </c>
    </row>
    <row r="52" spans="3:22" ht="15.65" customHeight="1">
      <c r="C52" s="1147" t="s">
        <v>236</v>
      </c>
      <c r="E52" s="637">
        <f t="shared" ref="E52:R52" si="18">E8*($R$43/E$43)</f>
        <v>228.85766814670285</v>
      </c>
      <c r="F52" s="380">
        <f t="shared" si="18"/>
        <v>202.02129485413263</v>
      </c>
      <c r="G52" s="380">
        <f t="shared" si="18"/>
        <v>190.8047618165931</v>
      </c>
      <c r="H52" s="380">
        <f t="shared" si="18"/>
        <v>193.07005976734342</v>
      </c>
      <c r="I52" s="380">
        <f t="shared" si="18"/>
        <v>195.07765525025434</v>
      </c>
      <c r="J52" s="380">
        <f t="shared" si="18"/>
        <v>209.56481208921463</v>
      </c>
      <c r="K52" s="380">
        <f t="shared" si="18"/>
        <v>223.32713419016761</v>
      </c>
      <c r="L52" s="380">
        <f t="shared" si="18"/>
        <v>229.53967354353688</v>
      </c>
      <c r="M52" s="380">
        <f t="shared" si="18"/>
        <v>247.76369960193509</v>
      </c>
      <c r="N52" s="380">
        <f t="shared" si="18"/>
        <v>212.04135732821396</v>
      </c>
      <c r="O52" s="380">
        <f t="shared" si="18"/>
        <v>238.71632630343709</v>
      </c>
      <c r="P52" s="380">
        <f t="shared" si="18"/>
        <v>202.48353023735473</v>
      </c>
      <c r="Q52" s="380">
        <f t="shared" si="18"/>
        <v>241.23753247152413</v>
      </c>
      <c r="R52" s="630">
        <f t="shared" si="18"/>
        <v>253.99237698708365</v>
      </c>
      <c r="T52" s="1297">
        <f t="shared" si="12"/>
        <v>0.31554513057671341</v>
      </c>
      <c r="U52" s="1297">
        <f t="shared" si="13"/>
        <v>0.13731086868648901</v>
      </c>
      <c r="V52" s="197">
        <f t="shared" si="14"/>
        <v>5.2872554220248169E-2</v>
      </c>
    </row>
    <row r="53" spans="3:22" ht="15.65" customHeight="1">
      <c r="C53" s="1147" t="s">
        <v>237</v>
      </c>
      <c r="E53" s="637">
        <f t="shared" ref="E53:R53" si="19">E9*($R$43/E$43)</f>
        <v>960.17957864947516</v>
      </c>
      <c r="F53" s="380">
        <f t="shared" si="19"/>
        <v>896.28201077326094</v>
      </c>
      <c r="G53" s="380">
        <f t="shared" si="19"/>
        <v>1002.1359133837772</v>
      </c>
      <c r="H53" s="380">
        <f t="shared" si="19"/>
        <v>843.8511651468591</v>
      </c>
      <c r="I53" s="380">
        <f t="shared" si="19"/>
        <v>1026.0416110490144</v>
      </c>
      <c r="J53" s="380">
        <f t="shared" si="19"/>
        <v>802.13744726681136</v>
      </c>
      <c r="K53" s="380">
        <f t="shared" si="19"/>
        <v>690.39878577050706</v>
      </c>
      <c r="L53" s="380">
        <f t="shared" si="19"/>
        <v>648.41434872019011</v>
      </c>
      <c r="M53" s="380">
        <f t="shared" si="19"/>
        <v>572.91464909498416</v>
      </c>
      <c r="N53" s="380">
        <f t="shared" si="19"/>
        <v>443.37551651316522</v>
      </c>
      <c r="O53" s="380">
        <f t="shared" si="19"/>
        <v>295.38082367456514</v>
      </c>
      <c r="P53" s="380">
        <f t="shared" si="19"/>
        <v>158.09143160705455</v>
      </c>
      <c r="Q53" s="380">
        <f t="shared" si="19"/>
        <v>163.13638793241878</v>
      </c>
      <c r="R53" s="630">
        <f t="shared" si="19"/>
        <v>177.93521765897816</v>
      </c>
      <c r="T53" s="1297">
        <f t="shared" si="12"/>
        <v>-0.78913909821051043</v>
      </c>
      <c r="U53" s="1297">
        <f t="shared" si="13"/>
        <v>-0.74227182705659489</v>
      </c>
      <c r="V53" s="197">
        <f t="shared" si="14"/>
        <v>9.0714462384014372E-2</v>
      </c>
    </row>
    <row r="54" spans="3:22" ht="15.65" customHeight="1">
      <c r="C54" s="1147" t="s">
        <v>238</v>
      </c>
      <c r="E54" s="637">
        <f t="shared" ref="E54:R54" si="20">E10</f>
        <v>150</v>
      </c>
      <c r="F54" s="380">
        <f t="shared" si="20"/>
        <v>150</v>
      </c>
      <c r="G54" s="380">
        <f t="shared" si="20"/>
        <v>150</v>
      </c>
      <c r="H54" s="380">
        <f t="shared" si="20"/>
        <v>150</v>
      </c>
      <c r="I54" s="380">
        <f t="shared" si="20"/>
        <v>150</v>
      </c>
      <c r="J54" s="380">
        <f t="shared" si="20"/>
        <v>150</v>
      </c>
      <c r="K54" s="380">
        <f t="shared" si="20"/>
        <v>150</v>
      </c>
      <c r="L54" s="380">
        <f t="shared" si="20"/>
        <v>150</v>
      </c>
      <c r="M54" s="380">
        <f t="shared" si="20"/>
        <v>150</v>
      </c>
      <c r="N54" s="380">
        <f t="shared" si="20"/>
        <v>150</v>
      </c>
      <c r="O54" s="380">
        <f t="shared" si="20"/>
        <v>150</v>
      </c>
      <c r="P54" s="380">
        <f t="shared" si="20"/>
        <v>150</v>
      </c>
      <c r="Q54" s="380">
        <f t="shared" si="20"/>
        <v>150</v>
      </c>
      <c r="R54" s="630">
        <f t="shared" si="20"/>
        <v>150</v>
      </c>
      <c r="T54" s="1297">
        <f t="shared" si="12"/>
        <v>0</v>
      </c>
      <c r="U54" s="1297">
        <f t="shared" si="13"/>
        <v>0</v>
      </c>
      <c r="V54" s="197">
        <f t="shared" si="14"/>
        <v>0</v>
      </c>
    </row>
    <row r="55" spans="3:22" ht="15.65" customHeight="1">
      <c r="C55" s="1147" t="s">
        <v>239</v>
      </c>
      <c r="E55" s="637">
        <f t="shared" ref="E55:R55" si="21">E11*($R$43/E$43)</f>
        <v>3630.2287161643626</v>
      </c>
      <c r="F55" s="380">
        <f t="shared" si="21"/>
        <v>3618.0598421477771</v>
      </c>
      <c r="G55" s="380">
        <f t="shared" si="21"/>
        <v>3406.376281777932</v>
      </c>
      <c r="H55" s="380">
        <f t="shared" si="21"/>
        <v>2754.0060923209703</v>
      </c>
      <c r="I55" s="380">
        <f t="shared" si="21"/>
        <v>2242.8860432640486</v>
      </c>
      <c r="J55" s="380">
        <f t="shared" si="21"/>
        <v>2322.7785757077008</v>
      </c>
      <c r="K55" s="380">
        <f t="shared" si="21"/>
        <v>2327.0033886242204</v>
      </c>
      <c r="L55" s="380">
        <f t="shared" si="21"/>
        <v>2501.3611633134165</v>
      </c>
      <c r="M55" s="380">
        <f t="shared" si="21"/>
        <v>2075.353987734215</v>
      </c>
      <c r="N55" s="380">
        <f t="shared" si="21"/>
        <v>2286.0153245364545</v>
      </c>
      <c r="O55" s="380">
        <f t="shared" si="21"/>
        <v>1960.472989834032</v>
      </c>
      <c r="P55" s="380">
        <f t="shared" si="21"/>
        <v>1984.9675049716627</v>
      </c>
      <c r="Q55" s="380">
        <f t="shared" si="21"/>
        <v>1473.4045925818268</v>
      </c>
      <c r="R55" s="630">
        <f t="shared" si="21"/>
        <v>1412.3268368525873</v>
      </c>
      <c r="T55" s="1297">
        <f>R55/H55-1</f>
        <v>-0.48717367009804513</v>
      </c>
      <c r="U55" s="1297">
        <f t="shared" si="13"/>
        <v>-0.39307057146677016</v>
      </c>
      <c r="V55" s="197">
        <f t="shared" si="14"/>
        <v>-4.1453485374450816E-2</v>
      </c>
    </row>
    <row r="56" spans="3:22" ht="15.65" customHeight="1">
      <c r="C56" s="1148" t="s">
        <v>240</v>
      </c>
      <c r="D56" s="1149"/>
      <c r="E56" s="638">
        <f t="shared" ref="E56:R56" si="22">E12*($R$43/E$43)</f>
        <v>0</v>
      </c>
      <c r="F56" s="631">
        <f t="shared" si="22"/>
        <v>118.94579365157291</v>
      </c>
      <c r="G56" s="631">
        <f t="shared" si="22"/>
        <v>195.97944010766571</v>
      </c>
      <c r="H56" s="631">
        <f t="shared" si="22"/>
        <v>123.74919599631426</v>
      </c>
      <c r="I56" s="631">
        <f t="shared" si="22"/>
        <v>42.41078538394892</v>
      </c>
      <c r="J56" s="631">
        <f t="shared" si="22"/>
        <v>57.463326048336448</v>
      </c>
      <c r="K56" s="631">
        <f t="shared" si="22"/>
        <v>35.220589283163207</v>
      </c>
      <c r="L56" s="631">
        <f t="shared" si="22"/>
        <v>103.60365028495774</v>
      </c>
      <c r="M56" s="631">
        <f t="shared" si="22"/>
        <v>83.389085390708885</v>
      </c>
      <c r="N56" s="631">
        <f t="shared" si="22"/>
        <v>116.22417078719509</v>
      </c>
      <c r="O56" s="631">
        <f t="shared" si="22"/>
        <v>85.320852479248543</v>
      </c>
      <c r="P56" s="631">
        <f t="shared" si="22"/>
        <v>93.830704180671901</v>
      </c>
      <c r="Q56" s="631">
        <f t="shared" si="22"/>
        <v>0</v>
      </c>
      <c r="R56" s="632">
        <f t="shared" si="22"/>
        <v>0</v>
      </c>
      <c r="T56" s="1299" t="e">
        <f>R56/E56-1</f>
        <v>#DIV/0!</v>
      </c>
      <c r="U56" s="1299">
        <f t="shared" si="13"/>
        <v>-1</v>
      </c>
      <c r="V56" s="461" t="e">
        <f t="shared" si="14"/>
        <v>#DIV/0!</v>
      </c>
    </row>
    <row r="57" spans="3:22">
      <c r="C57" s="1281"/>
      <c r="E57" s="380"/>
      <c r="F57" s="380"/>
      <c r="G57" s="380"/>
      <c r="H57" s="380"/>
      <c r="I57" s="380"/>
      <c r="J57" s="380"/>
      <c r="K57" s="380"/>
      <c r="L57" s="380"/>
      <c r="M57" s="380"/>
      <c r="N57" s="380"/>
      <c r="O57" s="380"/>
      <c r="P57" s="380"/>
      <c r="Q57" s="380"/>
      <c r="R57" s="380"/>
      <c r="T57" s="315"/>
      <c r="U57" s="315"/>
      <c r="V57" s="315"/>
    </row>
    <row r="58" spans="3:22">
      <c r="C58" s="1512" t="s">
        <v>254</v>
      </c>
      <c r="D58" s="1159"/>
      <c r="E58" s="1521"/>
      <c r="F58" s="380"/>
      <c r="G58" s="380"/>
      <c r="H58" s="380"/>
      <c r="I58" s="380"/>
      <c r="J58" s="380"/>
      <c r="K58" s="380"/>
      <c r="L58" s="380"/>
      <c r="M58" s="380"/>
      <c r="N58" s="1521"/>
      <c r="O58" s="1521"/>
      <c r="P58" s="1521"/>
      <c r="Q58" s="380"/>
      <c r="R58" s="380"/>
      <c r="T58" s="315"/>
      <c r="U58" s="315"/>
      <c r="V58" s="315"/>
    </row>
    <row r="59" spans="3:22">
      <c r="C59" s="1513" t="s">
        <v>1277</v>
      </c>
      <c r="D59" s="1159"/>
      <c r="E59" s="1506"/>
      <c r="F59" s="1506"/>
      <c r="G59" s="1507"/>
      <c r="H59" s="1508">
        <v>5434</v>
      </c>
      <c r="I59" s="1508">
        <v>5188</v>
      </c>
      <c r="J59" s="1508">
        <v>5290</v>
      </c>
      <c r="K59" s="1508">
        <v>5454</v>
      </c>
      <c r="L59" s="1508">
        <v>6236</v>
      </c>
      <c r="M59" s="1508">
        <v>6298</v>
      </c>
      <c r="N59" s="1508">
        <v>7425</v>
      </c>
      <c r="O59" s="1508">
        <v>6424</v>
      </c>
      <c r="P59" s="1508">
        <v>7380</v>
      </c>
      <c r="Q59" s="1508">
        <v>7739</v>
      </c>
      <c r="R59" s="1509">
        <v>7780</v>
      </c>
      <c r="S59" s="381"/>
      <c r="T59" s="1303"/>
      <c r="U59" s="1499"/>
      <c r="V59" s="1499"/>
    </row>
    <row r="60" spans="3:22">
      <c r="C60" s="1514" t="s">
        <v>256</v>
      </c>
      <c r="D60" s="1161"/>
      <c r="E60" s="1510">
        <f>E59*($Q$43/E43)</f>
        <v>0</v>
      </c>
      <c r="F60" s="1510">
        <f>F59*($Q$43/F43)</f>
        <v>0</v>
      </c>
      <c r="G60" s="1510">
        <f>G59*($Q$43/G43)</f>
        <v>0</v>
      </c>
      <c r="H60" s="1510">
        <f>H59*($R$43/H43)</f>
        <v>6592.5701829965983</v>
      </c>
      <c r="I60" s="1510">
        <f t="shared" ref="I60:R60" si="23">I59*($R$43/I43)</f>
        <v>6223.5679352752923</v>
      </c>
      <c r="J60" s="1510">
        <f t="shared" si="23"/>
        <v>6313.2350453395647</v>
      </c>
      <c r="K60" s="1510">
        <f t="shared" si="23"/>
        <v>6471.0239611325651</v>
      </c>
      <c r="L60" s="1510">
        <f t="shared" si="23"/>
        <v>7317.2593887242119</v>
      </c>
      <c r="M60" s="1510">
        <f t="shared" si="23"/>
        <v>7301.6563771173296</v>
      </c>
      <c r="N60" s="1510">
        <f t="shared" si="23"/>
        <v>8359.3055929789462</v>
      </c>
      <c r="O60" s="1510">
        <f t="shared" si="23"/>
        <v>7145.0350294215123</v>
      </c>
      <c r="P60" s="1510">
        <f t="shared" si="23"/>
        <v>7952.2244356345391</v>
      </c>
      <c r="Q60" s="1510">
        <f t="shared" si="23"/>
        <v>7919.0868886966491</v>
      </c>
      <c r="R60" s="1511">
        <f t="shared" si="23"/>
        <v>7780</v>
      </c>
      <c r="T60" s="1499"/>
      <c r="U60" s="1499"/>
      <c r="V60" s="1499"/>
    </row>
    <row r="61" spans="3:22">
      <c r="C61" s="1534" t="s">
        <v>1278</v>
      </c>
      <c r="E61" s="380"/>
      <c r="F61" s="380"/>
      <c r="G61" s="380"/>
      <c r="H61" s="380"/>
      <c r="I61" s="380"/>
      <c r="J61" s="380"/>
      <c r="K61" s="380"/>
      <c r="L61" s="380"/>
      <c r="M61" s="380"/>
      <c r="N61" s="380"/>
      <c r="O61" s="380"/>
      <c r="P61" s="380"/>
      <c r="Q61" s="380"/>
      <c r="R61" s="380"/>
      <c r="T61" s="1499"/>
      <c r="U61" s="1499"/>
      <c r="V61" s="1499"/>
    </row>
    <row r="62" spans="3:22">
      <c r="E62" s="380"/>
      <c r="F62" s="380"/>
      <c r="G62" s="380"/>
      <c r="H62" s="380"/>
      <c r="I62" s="380"/>
      <c r="J62" s="380"/>
      <c r="K62" s="380"/>
      <c r="L62" s="380"/>
      <c r="M62" s="380"/>
      <c r="N62" s="380"/>
      <c r="O62" s="380"/>
      <c r="P62" s="380"/>
      <c r="Q62" s="380"/>
      <c r="R62" s="380"/>
      <c r="T62" s="1499"/>
      <c r="U62" s="1499"/>
      <c r="V62" s="1499"/>
    </row>
    <row r="63" spans="3:22">
      <c r="C63" s="1272" t="s">
        <v>257</v>
      </c>
      <c r="E63" s="1263">
        <v>2011</v>
      </c>
      <c r="F63" s="1264">
        <v>2012</v>
      </c>
      <c r="G63" s="1264">
        <v>2013</v>
      </c>
      <c r="H63" s="1264">
        <v>2014</v>
      </c>
      <c r="I63" s="1264">
        <v>2015</v>
      </c>
      <c r="J63" s="1264">
        <v>2016</v>
      </c>
      <c r="K63" s="1265">
        <v>2017</v>
      </c>
      <c r="L63" s="1265">
        <v>2018</v>
      </c>
      <c r="M63" s="1265">
        <v>2019</v>
      </c>
      <c r="N63" s="1265">
        <v>2020</v>
      </c>
      <c r="O63" s="1265">
        <v>2021</v>
      </c>
      <c r="P63" s="1265">
        <v>2022</v>
      </c>
      <c r="Q63" s="1265">
        <v>2023</v>
      </c>
      <c r="R63" s="1266">
        <v>2024</v>
      </c>
      <c r="T63" s="1303"/>
      <c r="U63" s="1303"/>
      <c r="V63" s="1499"/>
    </row>
    <row r="64" spans="3:22" ht="16">
      <c r="C64" s="1258" t="s">
        <v>258</v>
      </c>
      <c r="E64" s="1522">
        <v>49041881002</v>
      </c>
      <c r="F64" s="1523">
        <v>49825959956</v>
      </c>
      <c r="G64" s="1523">
        <v>52111102729</v>
      </c>
      <c r="H64" s="1523">
        <v>46789016075</v>
      </c>
      <c r="I64" s="1523">
        <v>42291287600</v>
      </c>
      <c r="J64" s="1523">
        <v>41457040047</v>
      </c>
      <c r="K64" s="1523">
        <v>44411602338</v>
      </c>
      <c r="L64" s="1523">
        <v>47821459433</v>
      </c>
      <c r="M64" s="1523">
        <v>53913027615</v>
      </c>
      <c r="N64" s="1523">
        <v>47121919024</v>
      </c>
      <c r="O64" s="1523">
        <v>51539946780</v>
      </c>
      <c r="P64" s="1523">
        <v>55736266209</v>
      </c>
      <c r="Q64" s="1523">
        <v>60350114352</v>
      </c>
      <c r="R64" s="1524">
        <v>64040279324</v>
      </c>
      <c r="T64" s="1303"/>
      <c r="U64" s="1303"/>
      <c r="V64" s="1499"/>
    </row>
    <row r="65" spans="3:22">
      <c r="C65" s="295" t="s">
        <v>249</v>
      </c>
      <c r="E65" s="1525">
        <f>E64/10^6</f>
        <v>49041.881002000002</v>
      </c>
      <c r="F65" s="1526">
        <f t="shared" ref="F65:R65" si="24">F64/10^6</f>
        <v>49825.959955999999</v>
      </c>
      <c r="G65" s="1526">
        <f t="shared" si="24"/>
        <v>52111.102728999998</v>
      </c>
      <c r="H65" s="1526">
        <f t="shared" si="24"/>
        <v>46789.016075</v>
      </c>
      <c r="I65" s="1526">
        <f t="shared" si="24"/>
        <v>42291.287600000003</v>
      </c>
      <c r="J65" s="1526">
        <f t="shared" si="24"/>
        <v>41457.040047000002</v>
      </c>
      <c r="K65" s="1526">
        <f t="shared" si="24"/>
        <v>44411.602337999997</v>
      </c>
      <c r="L65" s="1526">
        <f t="shared" si="24"/>
        <v>47821.459433000004</v>
      </c>
      <c r="M65" s="1526">
        <f t="shared" si="24"/>
        <v>53913.027614999999</v>
      </c>
      <c r="N65" s="1526">
        <f t="shared" si="24"/>
        <v>47121.919024000003</v>
      </c>
      <c r="O65" s="1526">
        <f t="shared" si="24"/>
        <v>51539.946779999998</v>
      </c>
      <c r="P65" s="1526">
        <f t="shared" si="24"/>
        <v>55736.266209000001</v>
      </c>
      <c r="Q65" s="1526">
        <f t="shared" si="24"/>
        <v>60350.114351999997</v>
      </c>
      <c r="R65" s="1527">
        <f t="shared" si="24"/>
        <v>64040.279324000003</v>
      </c>
      <c r="T65" s="1499"/>
      <c r="U65" s="1499"/>
      <c r="V65" s="1499"/>
    </row>
    <row r="66" spans="3:22">
      <c r="E66" s="380"/>
      <c r="F66" s="380"/>
      <c r="G66" s="380"/>
      <c r="H66" s="380"/>
      <c r="I66" s="380"/>
      <c r="J66" s="380"/>
      <c r="K66" s="380"/>
      <c r="L66" s="380"/>
      <c r="M66" s="380"/>
      <c r="N66" s="380"/>
      <c r="O66" s="380"/>
      <c r="P66" s="380"/>
      <c r="Q66" s="380"/>
      <c r="R66" s="380"/>
      <c r="T66" s="1499"/>
      <c r="U66" s="1499"/>
      <c r="V66" s="1499"/>
    </row>
    <row r="67" spans="3:22">
      <c r="C67" s="1272" t="s">
        <v>1207</v>
      </c>
      <c r="E67" s="1263">
        <v>2011</v>
      </c>
      <c r="F67" s="1264">
        <v>2012</v>
      </c>
      <c r="G67" s="1264">
        <v>2013</v>
      </c>
      <c r="H67" s="1264">
        <v>2014</v>
      </c>
      <c r="I67" s="1264">
        <v>2015</v>
      </c>
      <c r="J67" s="1264">
        <v>2016</v>
      </c>
      <c r="K67" s="1265">
        <v>2017</v>
      </c>
      <c r="L67" s="1265">
        <v>2018</v>
      </c>
      <c r="M67" s="1265">
        <v>2019</v>
      </c>
      <c r="N67" s="1265">
        <v>2020</v>
      </c>
      <c r="O67" s="1265">
        <v>2021</v>
      </c>
      <c r="P67" s="1265">
        <v>2022</v>
      </c>
      <c r="Q67" s="1265">
        <v>2023</v>
      </c>
      <c r="R67" s="1266">
        <v>2024</v>
      </c>
      <c r="T67" s="1302" t="s">
        <v>1185</v>
      </c>
      <c r="U67" s="1302" t="s">
        <v>227</v>
      </c>
      <c r="V67" s="1304" t="s">
        <v>1175</v>
      </c>
    </row>
    <row r="68" spans="3:22">
      <c r="C68" s="1271" t="s">
        <v>249</v>
      </c>
      <c r="E68" s="1528">
        <f t="shared" ref="E68:R68" si="25">E65*($R$43/E$43)</f>
        <v>60937.397899445124</v>
      </c>
      <c r="F68" s="1529">
        <f t="shared" si="25"/>
        <v>61249.18681214282</v>
      </c>
      <c r="G68" s="1529">
        <f t="shared" si="25"/>
        <v>63582.672793521742</v>
      </c>
      <c r="H68" s="1529">
        <f t="shared" si="25"/>
        <v>56764.790627124312</v>
      </c>
      <c r="I68" s="1529">
        <f t="shared" si="25"/>
        <v>50732.980233011869</v>
      </c>
      <c r="J68" s="1529">
        <f t="shared" si="25"/>
        <v>49475.999640976595</v>
      </c>
      <c r="K68" s="1529">
        <f t="shared" si="25"/>
        <v>52693.168845157503</v>
      </c>
      <c r="L68" s="1529">
        <f t="shared" si="25"/>
        <v>56113.21728970707</v>
      </c>
      <c r="M68" s="1529">
        <f t="shared" si="25"/>
        <v>62504.668449470861</v>
      </c>
      <c r="N68" s="1529">
        <f t="shared" si="25"/>
        <v>53051.383333228849</v>
      </c>
      <c r="O68" s="1529">
        <f t="shared" si="25"/>
        <v>57324.832683315763</v>
      </c>
      <c r="P68" s="1529">
        <f t="shared" si="25"/>
        <v>60057.899471306431</v>
      </c>
      <c r="Q68" s="1529">
        <f t="shared" si="25"/>
        <v>61754.464310152041</v>
      </c>
      <c r="R68" s="1530">
        <f t="shared" si="25"/>
        <v>64040.279324000003</v>
      </c>
      <c r="T68" s="1301">
        <f>R68/H68-1</f>
        <v>0.12816903958418191</v>
      </c>
      <c r="U68" s="1301">
        <f>Q68/K68-1</f>
        <v>0.17196338090088648</v>
      </c>
      <c r="V68" s="1414">
        <f>R68/Q68-1</f>
        <v>3.7014571163111576E-2</v>
      </c>
    </row>
    <row r="69" spans="3:22">
      <c r="E69" s="380"/>
      <c r="F69" s="380"/>
      <c r="G69" s="380"/>
      <c r="H69" s="380"/>
      <c r="I69" s="380"/>
      <c r="J69" s="380"/>
      <c r="K69" s="380"/>
      <c r="L69" s="380"/>
      <c r="M69" s="380"/>
      <c r="N69" s="380"/>
      <c r="O69" s="380"/>
      <c r="P69" s="380"/>
      <c r="Q69" s="380"/>
      <c r="R69" s="380"/>
    </row>
    <row r="70" spans="3:22">
      <c r="C70" s="1272" t="s">
        <v>259</v>
      </c>
      <c r="E70" s="1263">
        <v>2011</v>
      </c>
      <c r="F70" s="1264">
        <v>2012</v>
      </c>
      <c r="G70" s="1264">
        <v>2013</v>
      </c>
      <c r="H70" s="1264">
        <v>2014</v>
      </c>
      <c r="I70" s="1264">
        <v>2015</v>
      </c>
      <c r="J70" s="1264">
        <v>2016</v>
      </c>
      <c r="K70" s="1265">
        <v>2017</v>
      </c>
      <c r="L70" s="1265">
        <v>2018</v>
      </c>
      <c r="M70" s="1265">
        <v>2019</v>
      </c>
      <c r="N70" s="1265">
        <v>2020</v>
      </c>
      <c r="O70" s="1265">
        <v>2021</v>
      </c>
      <c r="P70" s="1265">
        <v>2022</v>
      </c>
      <c r="Q70" s="1265">
        <v>2023</v>
      </c>
      <c r="R70" s="1266">
        <v>2024</v>
      </c>
    </row>
    <row r="71" spans="3:22">
      <c r="C71" s="1258" t="s">
        <v>260</v>
      </c>
      <c r="E71" s="636"/>
      <c r="F71" s="633"/>
      <c r="G71" s="633"/>
      <c r="H71" s="1372">
        <f>H14/H65</f>
        <v>0.13317406038612539</v>
      </c>
      <c r="I71" s="1372">
        <f>H71</f>
        <v>0.13317406038612539</v>
      </c>
      <c r="J71" s="1372">
        <f>I71</f>
        <v>0.13317406038612539</v>
      </c>
      <c r="K71" s="1372">
        <f>J71</f>
        <v>0.13317406038612539</v>
      </c>
      <c r="L71" s="1372">
        <f t="shared" ref="L71:R71" si="26">K71</f>
        <v>0.13317406038612539</v>
      </c>
      <c r="M71" s="1372">
        <f t="shared" si="26"/>
        <v>0.13317406038612539</v>
      </c>
      <c r="N71" s="1372">
        <f t="shared" si="26"/>
        <v>0.13317406038612539</v>
      </c>
      <c r="O71" s="1372">
        <f t="shared" si="26"/>
        <v>0.13317406038612539</v>
      </c>
      <c r="P71" s="1372">
        <f t="shared" si="26"/>
        <v>0.13317406038612539</v>
      </c>
      <c r="Q71" s="1372">
        <f t="shared" si="26"/>
        <v>0.13317406038612539</v>
      </c>
      <c r="R71" s="413">
        <f t="shared" si="26"/>
        <v>0.13317406038612539</v>
      </c>
    </row>
    <row r="72" spans="3:22">
      <c r="C72" s="294" t="s">
        <v>261</v>
      </c>
      <c r="E72" s="637"/>
      <c r="F72" s="380"/>
      <c r="G72" s="380"/>
      <c r="H72" s="380">
        <f t="shared" ref="H72:R72" si="27">H71*H68</f>
        <v>7559.5976547824175</v>
      </c>
      <c r="I72" s="380">
        <f t="shared" si="27"/>
        <v>6756.3169731192284</v>
      </c>
      <c r="J72" s="380">
        <f t="shared" si="27"/>
        <v>6588.9197638513351</v>
      </c>
      <c r="K72" s="380">
        <f t="shared" si="27"/>
        <v>7017.3632497213066</v>
      </c>
      <c r="L72" s="380">
        <f t="shared" si="27"/>
        <v>7472.8249877992248</v>
      </c>
      <c r="M72" s="380">
        <f t="shared" si="27"/>
        <v>8324.0004905045789</v>
      </c>
      <c r="N72" s="380">
        <f t="shared" si="27"/>
        <v>7065.0681275869047</v>
      </c>
      <c r="O72" s="380">
        <f t="shared" si="27"/>
        <v>7634.1807293924276</v>
      </c>
      <c r="P72" s="380">
        <f t="shared" si="27"/>
        <v>7998.1543308556111</v>
      </c>
      <c r="Q72" s="380">
        <f t="shared" si="27"/>
        <v>8224.0927591530126</v>
      </c>
      <c r="R72" s="630">
        <f t="shared" si="27"/>
        <v>8528.5040258387144</v>
      </c>
    </row>
    <row r="73" spans="3:22">
      <c r="C73" s="294" t="s">
        <v>262</v>
      </c>
      <c r="E73" s="637"/>
      <c r="F73" s="380"/>
      <c r="G73" s="380"/>
      <c r="H73" s="380">
        <f>H72-H47</f>
        <v>0</v>
      </c>
      <c r="I73" s="380">
        <f t="shared" ref="I73:R73" si="28">I72-I47</f>
        <v>-22.684532588440561</v>
      </c>
      <c r="J73" s="380">
        <f t="shared" si="28"/>
        <v>-29.783605523418373</v>
      </c>
      <c r="K73" s="380">
        <f t="shared" si="28"/>
        <v>318.99292355138641</v>
      </c>
      <c r="L73" s="380">
        <f t="shared" si="28"/>
        <v>351.15172336115938</v>
      </c>
      <c r="M73" s="380">
        <f t="shared" si="28"/>
        <v>1433.6200037623448</v>
      </c>
      <c r="N73" s="380">
        <f t="shared" si="28"/>
        <v>787.71721180179611</v>
      </c>
      <c r="O73" s="380">
        <f t="shared" si="28"/>
        <v>1486.4194639749749</v>
      </c>
      <c r="P73" s="380">
        <f t="shared" si="28"/>
        <v>1978.9964205861679</v>
      </c>
      <c r="Q73" s="380">
        <f t="shared" si="28"/>
        <v>2749.8431879641021</v>
      </c>
      <c r="R73" s="630">
        <f t="shared" si="28"/>
        <v>2889.167691906343</v>
      </c>
    </row>
    <row r="74" spans="3:22">
      <c r="C74" s="295" t="s">
        <v>263</v>
      </c>
      <c r="E74" s="638"/>
      <c r="F74" s="631"/>
      <c r="G74" s="631"/>
      <c r="H74" s="631"/>
      <c r="I74" s="631"/>
      <c r="J74" s="631"/>
      <c r="K74" s="631"/>
      <c r="L74" s="631"/>
      <c r="M74" s="631"/>
      <c r="N74" s="631"/>
      <c r="O74" s="631"/>
      <c r="P74" s="631"/>
      <c r="Q74" s="631"/>
      <c r="R74" s="632">
        <f>SUM(H73:R73)</f>
        <v>11943.440488796416</v>
      </c>
    </row>
    <row r="76" spans="3:22">
      <c r="C76" s="129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A3D7D-5CB1-4B7D-8330-60158C66D45B}">
  <dimension ref="A1:AF34"/>
  <sheetViews>
    <sheetView zoomScale="41" zoomScaleNormal="40" workbookViewId="0">
      <selection activeCell="B4" sqref="B4"/>
    </sheetView>
  </sheetViews>
  <sheetFormatPr baseColWidth="10" defaultRowHeight="14.5"/>
  <cols>
    <col min="1" max="1" width="46.08984375" customWidth="1"/>
    <col min="2" max="2" width="14.7265625" customWidth="1"/>
    <col min="17" max="27" width="14.26953125" bestFit="1" customWidth="1"/>
  </cols>
  <sheetData>
    <row r="1" spans="1:32" ht="21">
      <c r="A1" s="1" t="s">
        <v>225</v>
      </c>
      <c r="C1" s="1253">
        <v>2011</v>
      </c>
      <c r="D1" s="1254">
        <v>2012</v>
      </c>
      <c r="E1" s="1254">
        <v>2013</v>
      </c>
      <c r="F1" s="1254">
        <v>2014</v>
      </c>
      <c r="G1" s="1254">
        <v>2015</v>
      </c>
      <c r="H1" s="1254">
        <v>2016</v>
      </c>
      <c r="I1" s="1254">
        <v>2017</v>
      </c>
      <c r="J1" s="1254">
        <v>2018</v>
      </c>
      <c r="K1" s="1254">
        <v>2019</v>
      </c>
      <c r="L1" s="1254">
        <v>2020</v>
      </c>
      <c r="M1" s="1254">
        <v>2021</v>
      </c>
      <c r="N1" s="1254">
        <v>2022</v>
      </c>
      <c r="O1" s="1254">
        <v>2023</v>
      </c>
      <c r="P1" s="1254">
        <v>2024</v>
      </c>
      <c r="Q1" s="1256">
        <v>2025</v>
      </c>
      <c r="R1" s="1256">
        <v>2026</v>
      </c>
      <c r="S1" s="1256">
        <v>2027</v>
      </c>
      <c r="T1" s="1256">
        <v>2028</v>
      </c>
      <c r="U1" s="1256">
        <v>2029</v>
      </c>
      <c r="V1" s="1256">
        <v>2030</v>
      </c>
      <c r="W1" s="1256">
        <v>2031</v>
      </c>
      <c r="X1" s="1256">
        <v>2032</v>
      </c>
      <c r="Y1" s="1256">
        <v>2033</v>
      </c>
      <c r="Z1" s="1256">
        <v>2034</v>
      </c>
      <c r="AA1" s="1257">
        <v>2035</v>
      </c>
      <c r="AB1" s="153"/>
      <c r="AC1" s="153"/>
      <c r="AD1" s="153"/>
      <c r="AE1" s="153"/>
    </row>
    <row r="3" spans="1:32">
      <c r="A3" s="1116" t="s">
        <v>226</v>
      </c>
      <c r="B3" s="1119"/>
      <c r="C3" s="150">
        <v>2011</v>
      </c>
      <c r="D3" s="151">
        <v>2012</v>
      </c>
      <c r="E3" s="151">
        <v>2013</v>
      </c>
      <c r="F3" s="151">
        <v>2014</v>
      </c>
      <c r="G3" s="151">
        <v>2015</v>
      </c>
      <c r="H3" s="151">
        <v>2016</v>
      </c>
      <c r="I3" s="151">
        <v>2017</v>
      </c>
      <c r="J3" s="151">
        <v>2018</v>
      </c>
      <c r="K3" s="151">
        <v>2019</v>
      </c>
      <c r="L3" s="151">
        <v>2020</v>
      </c>
      <c r="M3" s="151">
        <v>2021</v>
      </c>
      <c r="N3" s="151">
        <v>2022</v>
      </c>
      <c r="O3" s="151">
        <v>2023</v>
      </c>
      <c r="P3" s="152">
        <v>2024</v>
      </c>
      <c r="Q3" s="1142">
        <v>2025</v>
      </c>
      <c r="R3" s="1142">
        <v>2026</v>
      </c>
      <c r="S3" s="1142">
        <v>2027</v>
      </c>
      <c r="T3" s="1142">
        <v>2028</v>
      </c>
      <c r="U3" s="1142">
        <v>2029</v>
      </c>
      <c r="V3" s="1142">
        <v>2030</v>
      </c>
      <c r="W3" s="1142">
        <v>2031</v>
      </c>
      <c r="X3" s="1142">
        <v>2032</v>
      </c>
      <c r="Y3" s="1142">
        <v>2033</v>
      </c>
      <c r="Z3" s="1142">
        <v>2034</v>
      </c>
      <c r="AA3" s="1143">
        <v>2035</v>
      </c>
      <c r="AB3" s="153"/>
      <c r="AC3" s="1417" t="s">
        <v>1185</v>
      </c>
      <c r="AD3" s="1418" t="s">
        <v>887</v>
      </c>
      <c r="AE3" s="1418" t="s">
        <v>886</v>
      </c>
      <c r="AF3" s="1419" t="s">
        <v>1181</v>
      </c>
    </row>
    <row r="4" spans="1:32">
      <c r="A4" s="1117" t="s">
        <v>229</v>
      </c>
      <c r="B4" s="1118" t="s">
        <v>1180</v>
      </c>
      <c r="C4" s="636">
        <f>SynthèseDFHIST!E48</f>
        <v>371.40123528482133</v>
      </c>
      <c r="D4" s="633">
        <f>SynthèseDFHIST!F48</f>
        <v>381.03348728078686</v>
      </c>
      <c r="E4" s="633">
        <f>SynthèseDFHIST!G48</f>
        <v>388.32663602903364</v>
      </c>
      <c r="F4" s="633">
        <f>SynthèseDFHIST!H48</f>
        <v>392.67658149150452</v>
      </c>
      <c r="G4" s="633">
        <f>SynthèseDFHIST!I48</f>
        <v>378.69318028061639</v>
      </c>
      <c r="H4" s="633">
        <f>SynthèseDFHIST!J48</f>
        <v>422.07163807915413</v>
      </c>
      <c r="I4" s="633">
        <f>SynthèseDFHIST!K48</f>
        <v>449.62363879410049</v>
      </c>
      <c r="J4" s="633">
        <f>SynthèseDFHIST!L48</f>
        <v>484.02081101373523</v>
      </c>
      <c r="K4" s="633">
        <f>SynthèseDFHIST!M48</f>
        <v>445.42194964179959</v>
      </c>
      <c r="L4" s="633">
        <f>SynthèseDFHIST!N48</f>
        <v>429.98844441581525</v>
      </c>
      <c r="M4" s="633">
        <f>SynthèseDFHIST!O48</f>
        <v>562.74386709313308</v>
      </c>
      <c r="N4" s="633">
        <f>SynthèseDFHIST!P48</f>
        <v>446.91955537311537</v>
      </c>
      <c r="O4" s="633">
        <f>SynthèseDFHIST!Q48</f>
        <v>343.2892115826852</v>
      </c>
      <c r="P4" s="633">
        <f>SynthèseDFHIST!R48</f>
        <v>390.64881130054675</v>
      </c>
      <c r="Q4" s="636">
        <f>CT_RENO!X104+CT_RENO!X105</f>
        <v>367.28446043333099</v>
      </c>
      <c r="R4" s="633">
        <f>CT_RENO!Y104+CT_RENO!Y105</f>
        <v>343.56892086666198</v>
      </c>
      <c r="S4" s="633">
        <f>CT_RENO!Z104+CT_RENO!Z105</f>
        <v>319.85338129999292</v>
      </c>
      <c r="T4" s="633">
        <f>CT_RENO!AA104+CT_RENO!AA105</f>
        <v>296.13784173332391</v>
      </c>
      <c r="U4" s="633">
        <f>CT_RENO!AB104+CT_RENO!AB105</f>
        <v>272.42230216665484</v>
      </c>
      <c r="V4" s="633">
        <f>CT_RENO!AC104+CT_RENO!AC105</f>
        <v>248.70676259998586</v>
      </c>
      <c r="W4" s="633">
        <f>CT_RENO!AD104+CT_RENO!AD105</f>
        <v>238.47929587817222</v>
      </c>
      <c r="X4" s="633">
        <f>CT_RENO!AE104+CT_RENO!AE105</f>
        <v>228.25182915635858</v>
      </c>
      <c r="Y4" s="633">
        <f>CT_RENO!AF104+CT_RENO!AF105</f>
        <v>218.02436243454494</v>
      </c>
      <c r="Z4" s="633">
        <f>CT_RENO!AG104+CT_RENO!AG105</f>
        <v>207.7968957127313</v>
      </c>
      <c r="AA4" s="634">
        <f>CT_RENO!AH104+CT_RENO!AH105</f>
        <v>197.56942899091766</v>
      </c>
      <c r="AC4" s="114">
        <f>-(F4-P4)/F4</f>
        <v>-5.1639702659518989E-3</v>
      </c>
      <c r="AD4" s="115">
        <f>-(P4-AA4)/P4</f>
        <v>-0.49425309056190353</v>
      </c>
      <c r="AE4" s="1293">
        <f>-(Q4-AA4)/Q4</f>
        <v>-0.4620806206779875</v>
      </c>
      <c r="AF4" s="116">
        <f t="shared" ref="AF4:AF11" si="0">-(P4-V4)/P4</f>
        <v>-0.36334949600386057</v>
      </c>
    </row>
    <row r="5" spans="1:32">
      <c r="A5" s="669" t="s">
        <v>231</v>
      </c>
      <c r="B5" s="267" t="s">
        <v>232</v>
      </c>
      <c r="C5" s="637">
        <f>SynthèseDFHIST!E49</f>
        <v>2889.6896505988357</v>
      </c>
      <c r="D5" s="380">
        <f>SynthèseDFHIST!F49</f>
        <v>3001.6742415256108</v>
      </c>
      <c r="E5" s="380">
        <f>SynthèseDFHIST!G49</f>
        <v>3186.9797278544547</v>
      </c>
      <c r="F5" s="380">
        <f>SynthèseDFHIST!H49</f>
        <v>2839.7053193129764</v>
      </c>
      <c r="G5" s="380">
        <f>SynthèseDFHIST!I49</f>
        <v>2456.070295330228</v>
      </c>
      <c r="H5" s="380">
        <f>SynthèseDFHIST!J49</f>
        <v>2333.2700876162771</v>
      </c>
      <c r="I5" s="380">
        <f>SynthèseDFHIST!K49</f>
        <v>2476.0275276375201</v>
      </c>
      <c r="J5" s="380">
        <f>SynthèseDFHIST!L49</f>
        <v>2675.3026286709737</v>
      </c>
      <c r="K5" s="380">
        <f>SynthèseDFHIST!M49</f>
        <v>2984.6914540061707</v>
      </c>
      <c r="L5" s="380">
        <f>SynthèseDFHIST!N49</f>
        <v>2441.857449342328</v>
      </c>
      <c r="M5" s="380">
        <f>SynthèseDFHIST!O49</f>
        <v>2663.82152989618</v>
      </c>
      <c r="N5" s="380">
        <f>SynthèseDFHIST!P49</f>
        <v>2825.427816891131</v>
      </c>
      <c r="O5" s="380">
        <f>SynthèseDFHIST!Q49</f>
        <v>2965.3720682793437</v>
      </c>
      <c r="P5" s="618">
        <f>SynthèseDFHIST!R49</f>
        <v>3132.9739331107448</v>
      </c>
      <c r="Q5" s="637">
        <f>TER_NEUF!H92</f>
        <v>1145.933652833161</v>
      </c>
      <c r="R5" s="380">
        <f>TER_NEUF!I92</f>
        <v>1097.2901780671411</v>
      </c>
      <c r="S5" s="380">
        <f>TER_NEUF!J92</f>
        <v>1047.9920572292028</v>
      </c>
      <c r="T5" s="380">
        <f>TER_NEUF!K92</f>
        <v>993.95363478108925</v>
      </c>
      <c r="U5" s="380">
        <f>TER_NEUF!L92</f>
        <v>934.92870138298997</v>
      </c>
      <c r="V5" s="380">
        <f>TER_NEUF!M92</f>
        <v>881.21519680013716</v>
      </c>
      <c r="W5" s="380">
        <f>TER_NEUF!N92</f>
        <v>783.94762153554245</v>
      </c>
      <c r="X5" s="380">
        <f>TER_NEUF!O92</f>
        <v>667.7442139426206</v>
      </c>
      <c r="Y5" s="380">
        <f>TER_NEUF!P92</f>
        <v>648.09250424677907</v>
      </c>
      <c r="Z5" s="380">
        <f>TER_NEUF!Q92</f>
        <v>633.41290289678068</v>
      </c>
      <c r="AA5" s="630">
        <f>TER_NEUF!R92</f>
        <v>618.90601700174409</v>
      </c>
      <c r="AC5" s="114">
        <f t="shared" ref="AC5:AC11" si="1">-(F5-P5)/F5</f>
        <v>0.10327431223346807</v>
      </c>
      <c r="AD5" s="115">
        <f t="shared" ref="AD5:AD12" si="2">-(P5-AA5)/P5</f>
        <v>-0.80245414414053884</v>
      </c>
      <c r="AE5" s="1293">
        <f>-(Q5-AA5)/Q5</f>
        <v>-0.45991112533296724</v>
      </c>
      <c r="AF5" s="116">
        <f t="shared" si="0"/>
        <v>-0.71872884498430079</v>
      </c>
    </row>
    <row r="6" spans="1:32">
      <c r="A6" s="669" t="s">
        <v>235</v>
      </c>
      <c r="B6" s="267" t="s">
        <v>232</v>
      </c>
      <c r="C6" s="637">
        <f>SynthèseDFHIST!E51</f>
        <v>232.96702305586689</v>
      </c>
      <c r="D6" s="380">
        <f>SynthèseDFHIST!F51</f>
        <v>227.75898015640749</v>
      </c>
      <c r="E6" s="380">
        <f>SynthèseDFHIST!G51</f>
        <v>221.37101534522765</v>
      </c>
      <c r="F6" s="380">
        <f>SynthèseDFHIST!H51</f>
        <v>230.55809841124679</v>
      </c>
      <c r="G6" s="380">
        <f>SynthèseDFHIST!I51</f>
        <v>257.88068798469794</v>
      </c>
      <c r="H6" s="380">
        <f>SynthèseDFHIST!J51</f>
        <v>292.40325632889665</v>
      </c>
      <c r="I6" s="380">
        <f>SynthèseDFHIST!K51</f>
        <v>318.79830584349236</v>
      </c>
      <c r="J6" s="380">
        <f>SynthèseDFHIST!L51</f>
        <v>303.42250455696512</v>
      </c>
      <c r="K6" s="380">
        <f>SynthèseDFHIST!M51</f>
        <v>306.94149223977632</v>
      </c>
      <c r="L6" s="380">
        <f>SynthèseDFHIST!N51</f>
        <v>178.97379239771575</v>
      </c>
      <c r="M6" s="380">
        <f>SynthèseDFHIST!O51</f>
        <v>174.46875309619165</v>
      </c>
      <c r="N6" s="380">
        <f>SynthèseDFHIST!P51</f>
        <v>145.80678904840298</v>
      </c>
      <c r="O6" s="380">
        <f>SynthèseDFHIST!Q51</f>
        <v>134.31927138872902</v>
      </c>
      <c r="P6" s="380">
        <f>SynthèseDFHIST!R51</f>
        <v>121.45915802243005</v>
      </c>
      <c r="Q6" s="637">
        <f>VP!H73+VP!H74</f>
        <v>181.18951355516583</v>
      </c>
      <c r="R6" s="380">
        <f>VP!I73+VP!I74</f>
        <v>154.97725714975823</v>
      </c>
      <c r="S6" s="380">
        <f>VP!J73+VP!J74</f>
        <v>131.67073850467543</v>
      </c>
      <c r="T6" s="380">
        <f>VP!K73+VP!K74</f>
        <v>110.15460662818899</v>
      </c>
      <c r="U6" s="380">
        <f>VP!L73+VP!L74</f>
        <v>89.819587193923425</v>
      </c>
      <c r="V6" s="380">
        <f>VP!M73+VP!M74</f>
        <v>67.748470470536276</v>
      </c>
      <c r="W6" s="380">
        <f>VP!N73+VP!N74</f>
        <v>54.198776376429024</v>
      </c>
      <c r="X6" s="380">
        <f>VP!O73+VP!O74</f>
        <v>40.649082282321764</v>
      </c>
      <c r="Y6" s="380">
        <f>VP!P73+VP!P74</f>
        <v>27.099388188214512</v>
      </c>
      <c r="Z6" s="380">
        <f>VP!Q73+VP!Q74</f>
        <v>13.549694094107256</v>
      </c>
      <c r="AA6" s="630">
        <f>VP!R73+VP!R74</f>
        <v>0</v>
      </c>
      <c r="AC6" s="114">
        <f t="shared" si="1"/>
        <v>-0.47319500438547518</v>
      </c>
      <c r="AD6" s="115">
        <f t="shared" si="2"/>
        <v>-1</v>
      </c>
      <c r="AE6" s="1293">
        <f>-(Q6-AA6)/Q6</f>
        <v>-1</v>
      </c>
      <c r="AF6" s="116">
        <f t="shared" si="0"/>
        <v>-0.4422119206686328</v>
      </c>
    </row>
    <row r="7" spans="1:32">
      <c r="A7" s="669" t="s">
        <v>236</v>
      </c>
      <c r="B7" s="267" t="s">
        <v>232</v>
      </c>
      <c r="C7" s="637">
        <f>SynthèseDFHIST!E52</f>
        <v>228.85766814670285</v>
      </c>
      <c r="D7" s="380">
        <f>SynthèseDFHIST!F52</f>
        <v>202.02129485413263</v>
      </c>
      <c r="E7" s="380">
        <f>SynthèseDFHIST!G52</f>
        <v>190.8047618165931</v>
      </c>
      <c r="F7" s="380">
        <f>SynthèseDFHIST!H52</f>
        <v>193.07005976734342</v>
      </c>
      <c r="G7" s="380">
        <f>SynthèseDFHIST!I52</f>
        <v>195.07765525025434</v>
      </c>
      <c r="H7" s="380">
        <f>SynthèseDFHIST!J52</f>
        <v>209.56481208921463</v>
      </c>
      <c r="I7" s="380">
        <f>SynthèseDFHIST!K52</f>
        <v>223.32713419016761</v>
      </c>
      <c r="J7" s="380">
        <f>SynthèseDFHIST!L52</f>
        <v>229.53967354353688</v>
      </c>
      <c r="K7" s="380">
        <f>SynthèseDFHIST!M52</f>
        <v>247.76369960193509</v>
      </c>
      <c r="L7" s="380">
        <f>SynthèseDFHIST!N52</f>
        <v>212.04135732821396</v>
      </c>
      <c r="M7" s="380">
        <f>SynthèseDFHIST!O52</f>
        <v>238.71632630343709</v>
      </c>
      <c r="N7" s="380">
        <f>SynthèseDFHIST!P52</f>
        <v>202.48353023735473</v>
      </c>
      <c r="O7" s="380">
        <f>SynthèseDFHIST!Q52</f>
        <v>241.23753247152413</v>
      </c>
      <c r="P7" s="380">
        <f>SynthèseDFHIST!R52</f>
        <v>253.99237698708365</v>
      </c>
      <c r="Q7" s="637">
        <f>VP!H75</f>
        <v>197.57006033194151</v>
      </c>
      <c r="R7" s="380">
        <f>VP!I75</f>
        <v>180.76470339286308</v>
      </c>
      <c r="S7" s="380">
        <f>VP!J75</f>
        <v>163.95934645378472</v>
      </c>
      <c r="T7" s="380">
        <f>VP!K75</f>
        <v>147.15398951470632</v>
      </c>
      <c r="U7" s="380">
        <f>VP!L75</f>
        <v>130.3486325756279</v>
      </c>
      <c r="V7" s="380">
        <f>VP!M75</f>
        <v>113.54327563654952</v>
      </c>
      <c r="W7" s="380">
        <f>VP!N75</f>
        <v>90.834620509239613</v>
      </c>
      <c r="X7" s="380">
        <f>VP!O75</f>
        <v>68.125965381929731</v>
      </c>
      <c r="Y7" s="380">
        <f>VP!P75</f>
        <v>45.417310254619821</v>
      </c>
      <c r="Z7" s="380">
        <f>VP!Q75</f>
        <v>22.70865512730991</v>
      </c>
      <c r="AA7" s="630">
        <f>VP!R75</f>
        <v>0</v>
      </c>
      <c r="AC7" s="114">
        <f t="shared" si="1"/>
        <v>0.3155451305767133</v>
      </c>
      <c r="AD7" s="115">
        <f t="shared" si="2"/>
        <v>-1</v>
      </c>
      <c r="AE7" s="1293">
        <f>-(Q7-AA7)/Q7</f>
        <v>-1</v>
      </c>
      <c r="AF7" s="116">
        <f t="shared" si="0"/>
        <v>-0.55296581344910378</v>
      </c>
    </row>
    <row r="8" spans="1:32">
      <c r="A8" s="669" t="s">
        <v>237</v>
      </c>
      <c r="B8" s="267" t="s">
        <v>232</v>
      </c>
      <c r="C8" s="637">
        <f>SynthèseDFHIST!E53</f>
        <v>960.17957864947516</v>
      </c>
      <c r="D8" s="380">
        <f>SynthèseDFHIST!F53</f>
        <v>896.28201077326094</v>
      </c>
      <c r="E8" s="380">
        <f>SynthèseDFHIST!G53</f>
        <v>1002.1359133837772</v>
      </c>
      <c r="F8" s="380">
        <f>SynthèseDFHIST!H53</f>
        <v>843.8511651468591</v>
      </c>
      <c r="G8" s="380">
        <f>SynthèseDFHIST!I53</f>
        <v>1026.0416110490144</v>
      </c>
      <c r="H8" s="380">
        <f>SynthèseDFHIST!J53</f>
        <v>802.13744726681136</v>
      </c>
      <c r="I8" s="380">
        <f>SynthèseDFHIST!K53</f>
        <v>690.39878577050706</v>
      </c>
      <c r="J8" s="380">
        <f>SynthèseDFHIST!L53</f>
        <v>648.41434872019011</v>
      </c>
      <c r="K8" s="380">
        <f>SynthèseDFHIST!M53</f>
        <v>572.91464909498416</v>
      </c>
      <c r="L8" s="380">
        <f>SynthèseDFHIST!N53</f>
        <v>443.37551651316522</v>
      </c>
      <c r="M8" s="380">
        <f>SynthèseDFHIST!O53</f>
        <v>295.38082367456514</v>
      </c>
      <c r="N8" s="380">
        <f>SynthèseDFHIST!P53</f>
        <v>158.09143160705455</v>
      </c>
      <c r="O8" s="380">
        <f>SynthèseDFHIST!Q53</f>
        <v>163.13638793241878</v>
      </c>
      <c r="P8" s="380">
        <f>SynthèseDFHIST!R53</f>
        <v>177.93521765897816</v>
      </c>
      <c r="Q8" s="637">
        <f>BUSCAR!I95</f>
        <v>166.41737974295748</v>
      </c>
      <c r="R8" s="380">
        <f>BUSCAR!J95</f>
        <v>154.8995418269368</v>
      </c>
      <c r="S8" s="380">
        <f>BUSCAR!K95</f>
        <v>143.38170391091609</v>
      </c>
      <c r="T8" s="380">
        <f>BUSCAR!L95</f>
        <v>131.86386599489538</v>
      </c>
      <c r="U8" s="380">
        <f>BUSCAR!M95</f>
        <v>120.3460280788747</v>
      </c>
      <c r="V8" s="380">
        <f>BUSCAR!N95</f>
        <v>108.828190162854</v>
      </c>
      <c r="W8" s="380">
        <f>BUSCAR!O95</f>
        <v>97.310352246833304</v>
      </c>
      <c r="X8" s="380">
        <f>BUSCAR!P95</f>
        <v>85.792514330812608</v>
      </c>
      <c r="Y8" s="380">
        <f>BUSCAR!Q95</f>
        <v>74.274676414791912</v>
      </c>
      <c r="Z8" s="380">
        <f>BUSCAR!R95</f>
        <v>62.756838498771231</v>
      </c>
      <c r="AA8" s="630">
        <f>BUSCAR!S95</f>
        <v>51.239000582750563</v>
      </c>
      <c r="AC8" s="114">
        <f t="shared" si="1"/>
        <v>-0.78913909821051043</v>
      </c>
      <c r="AD8" s="115">
        <f t="shared" si="2"/>
        <v>-0.71203564276436437</v>
      </c>
      <c r="AE8" s="1293">
        <f>-(Q8-AA8)/Q8</f>
        <v>-0.69210547202526229</v>
      </c>
      <c r="AF8" s="116">
        <f t="shared" si="0"/>
        <v>-0.38838307787147158</v>
      </c>
    </row>
    <row r="9" spans="1:32">
      <c r="A9" s="669" t="s">
        <v>238</v>
      </c>
      <c r="B9" s="267" t="s">
        <v>232</v>
      </c>
      <c r="C9" s="637">
        <f>SynthèseDFHIST!E54</f>
        <v>150</v>
      </c>
      <c r="D9" s="380">
        <f>SynthèseDFHIST!F54</f>
        <v>150</v>
      </c>
      <c r="E9" s="380">
        <f>SynthèseDFHIST!G54</f>
        <v>150</v>
      </c>
      <c r="F9" s="380">
        <f>SynthèseDFHIST!H54</f>
        <v>150</v>
      </c>
      <c r="G9" s="380">
        <f>SynthèseDFHIST!I54</f>
        <v>150</v>
      </c>
      <c r="H9" s="380">
        <f>SynthèseDFHIST!J54</f>
        <v>150</v>
      </c>
      <c r="I9" s="380">
        <f>SynthèseDFHIST!K54</f>
        <v>150</v>
      </c>
      <c r="J9" s="380">
        <f>SynthèseDFHIST!L54</f>
        <v>150</v>
      </c>
      <c r="K9" s="380">
        <f>SynthèseDFHIST!M54</f>
        <v>150</v>
      </c>
      <c r="L9" s="380">
        <f>SynthèseDFHIST!N54</f>
        <v>150</v>
      </c>
      <c r="M9" s="380">
        <f>SynthèseDFHIST!O54</f>
        <v>150</v>
      </c>
      <c r="N9" s="380">
        <f>SynthèseDFHIST!P54</f>
        <v>150</v>
      </c>
      <c r="O9" s="380">
        <f>SynthèseDFHIST!Q54</f>
        <v>150</v>
      </c>
      <c r="P9" s="380">
        <f>SynthèseDFHIST!R54</f>
        <v>150</v>
      </c>
      <c r="Q9" s="637">
        <v>64.069999999999993</v>
      </c>
      <c r="R9" s="380">
        <v>64.069999999999993</v>
      </c>
      <c r="S9" s="380">
        <v>64.069999999999993</v>
      </c>
      <c r="T9" s="380">
        <v>64.069999999999993</v>
      </c>
      <c r="U9" s="380">
        <v>64.069999999999993</v>
      </c>
      <c r="V9" s="380">
        <v>64.069999999999993</v>
      </c>
      <c r="W9" s="380">
        <v>64.069999999999993</v>
      </c>
      <c r="X9" s="380">
        <v>64.069999999999993</v>
      </c>
      <c r="Y9" s="380">
        <v>64.069999999999993</v>
      </c>
      <c r="Z9" s="380">
        <v>64.069999999999993</v>
      </c>
      <c r="AA9" s="630">
        <v>64.069999999999993</v>
      </c>
      <c r="AC9" s="114">
        <f t="shared" si="1"/>
        <v>0</v>
      </c>
      <c r="AD9" s="115">
        <f t="shared" si="2"/>
        <v>-0.57286666666666675</v>
      </c>
      <c r="AE9" s="1293">
        <f>-100%</f>
        <v>-1</v>
      </c>
      <c r="AF9" s="116">
        <f t="shared" si="0"/>
        <v>-0.57286666666666675</v>
      </c>
    </row>
    <row r="10" spans="1:32">
      <c r="A10" s="669" t="s">
        <v>239</v>
      </c>
      <c r="B10" s="267" t="s">
        <v>232</v>
      </c>
      <c r="C10" s="637">
        <f>SynthèseDFHIST!E55</f>
        <v>3630.2287161643626</v>
      </c>
      <c r="D10" s="380">
        <f>SynthèseDFHIST!F55</f>
        <v>3618.0598421477771</v>
      </c>
      <c r="E10" s="380">
        <f>SynthèseDFHIST!G55</f>
        <v>3406.376281777932</v>
      </c>
      <c r="F10" s="380">
        <f>SynthèseDFHIST!H55</f>
        <v>2754.0060923209703</v>
      </c>
      <c r="G10" s="380">
        <f>SynthèseDFHIST!I55</f>
        <v>2242.8860432640486</v>
      </c>
      <c r="H10" s="380">
        <f>SynthèseDFHIST!J55</f>
        <v>2322.7785757077008</v>
      </c>
      <c r="I10" s="380">
        <f>SynthèseDFHIST!K55</f>
        <v>2327.0033886242204</v>
      </c>
      <c r="J10" s="380">
        <f>SynthèseDFHIST!L55</f>
        <v>2501.3611633134165</v>
      </c>
      <c r="K10" s="380">
        <f>SynthèseDFHIST!M55</f>
        <v>2075.353987734215</v>
      </c>
      <c r="L10" s="380">
        <f>SynthèseDFHIST!N55</f>
        <v>2286.0153245364545</v>
      </c>
      <c r="M10" s="380">
        <f>SynthèseDFHIST!O55</f>
        <v>1960.472989834032</v>
      </c>
      <c r="N10" s="380">
        <f>SynthèseDFHIST!P55</f>
        <v>1984.9675049716627</v>
      </c>
      <c r="O10" s="380">
        <f>SynthèseDFHIST!Q55</f>
        <v>1473.4045925818268</v>
      </c>
      <c r="P10" s="380">
        <f>SynthèseDFHIST!R55</f>
        <v>1412.3268368525873</v>
      </c>
      <c r="Q10" s="637">
        <f>'ROUTES (v2)'!I207</f>
        <v>1313.7924063744999</v>
      </c>
      <c r="R10" s="380">
        <f>'ROUTES (v2)'!J207</f>
        <v>1215.2579758964125</v>
      </c>
      <c r="S10" s="380">
        <f>'ROUTES (v2)'!K207</f>
        <v>1116.7235454183251</v>
      </c>
      <c r="T10" s="380">
        <f>'ROUTES (v2)'!L207</f>
        <v>1018.1891149402376</v>
      </c>
      <c r="U10" s="380">
        <f>'ROUTES (v2)'!M207</f>
        <v>919.65468446215004</v>
      </c>
      <c r="V10" s="380">
        <f>'ROUTES (v2)'!N207</f>
        <v>821.12025398406263</v>
      </c>
      <c r="W10" s="380">
        <f>'ROUTES (v2)'!O207</f>
        <v>788.27544382470012</v>
      </c>
      <c r="X10" s="380">
        <f>'ROUTES (v2)'!P207</f>
        <v>755.43063366533761</v>
      </c>
      <c r="Y10" s="380">
        <f>'ROUTES (v2)'!Q207</f>
        <v>722.5858235059751</v>
      </c>
      <c r="Z10" s="380">
        <f>'ROUTES (v2)'!R207</f>
        <v>689.74101334661259</v>
      </c>
      <c r="AA10" s="630">
        <f>'ROUTES (v2)'!S207</f>
        <v>656.89620318725008</v>
      </c>
      <c r="AC10" s="114">
        <f t="shared" si="1"/>
        <v>-0.48717367009804519</v>
      </c>
      <c r="AD10" s="115">
        <f t="shared" si="2"/>
        <v>-0.5348837209302324</v>
      </c>
      <c r="AE10" s="1293">
        <f>-(Q10-AA10)/Q10</f>
        <v>-0.49999999999999989</v>
      </c>
      <c r="AF10" s="116">
        <f t="shared" si="0"/>
        <v>-0.41860465116279055</v>
      </c>
    </row>
    <row r="11" spans="1:32">
      <c r="A11" s="669" t="s">
        <v>240</v>
      </c>
      <c r="B11" s="841" t="s">
        <v>232</v>
      </c>
      <c r="C11" s="637">
        <f>SynthèseDFHIST!E56</f>
        <v>0</v>
      </c>
      <c r="D11" s="380">
        <f>SynthèseDFHIST!F56</f>
        <v>118.94579365157291</v>
      </c>
      <c r="E11" s="380">
        <f>SynthèseDFHIST!G56</f>
        <v>195.97944010766571</v>
      </c>
      <c r="F11" s="380">
        <f>SynthèseDFHIST!H56</f>
        <v>123.74919599631426</v>
      </c>
      <c r="G11" s="380">
        <f>SynthèseDFHIST!I56</f>
        <v>42.41078538394892</v>
      </c>
      <c r="H11" s="380">
        <f>SynthèseDFHIST!J56</f>
        <v>57.463326048336448</v>
      </c>
      <c r="I11" s="380">
        <f>SynthèseDFHIST!K56</f>
        <v>35.220589283163207</v>
      </c>
      <c r="J11" s="380">
        <f>SynthèseDFHIST!L56</f>
        <v>103.60365028495774</v>
      </c>
      <c r="K11" s="380">
        <f>SynthèseDFHIST!M56</f>
        <v>83.389085390708885</v>
      </c>
      <c r="L11" s="380">
        <f>SynthèseDFHIST!N56</f>
        <v>116.22417078719509</v>
      </c>
      <c r="M11" s="380">
        <f>SynthèseDFHIST!O56</f>
        <v>85.320852479248543</v>
      </c>
      <c r="N11" s="380">
        <f>SynthèseDFHIST!P56</f>
        <v>93.830704180671901</v>
      </c>
      <c r="O11" s="380">
        <f>SynthèseDFHIST!Q56</f>
        <v>0</v>
      </c>
      <c r="P11" s="380">
        <f>SynthèseDFHIST!R56</f>
        <v>0</v>
      </c>
      <c r="Q11" s="638">
        <v>0</v>
      </c>
      <c r="R11" s="631">
        <v>0</v>
      </c>
      <c r="S11" s="631">
        <v>0</v>
      </c>
      <c r="T11" s="631">
        <v>0</v>
      </c>
      <c r="U11" s="631">
        <v>0</v>
      </c>
      <c r="V11" s="631">
        <v>0</v>
      </c>
      <c r="W11" s="631">
        <v>0</v>
      </c>
      <c r="X11" s="631">
        <v>0</v>
      </c>
      <c r="Y11" s="631">
        <v>0</v>
      </c>
      <c r="Z11" s="631">
        <v>0</v>
      </c>
      <c r="AA11" s="632">
        <v>0</v>
      </c>
      <c r="AC11" s="114">
        <f t="shared" si="1"/>
        <v>-1</v>
      </c>
      <c r="AD11" s="115"/>
      <c r="AE11" s="1293"/>
      <c r="AF11" s="116" t="e">
        <f t="shared" si="0"/>
        <v>#DIV/0!</v>
      </c>
    </row>
    <row r="12" spans="1:32">
      <c r="A12" s="1116" t="s">
        <v>1211</v>
      </c>
      <c r="B12" s="1144" t="s">
        <v>1180</v>
      </c>
      <c r="C12" s="648">
        <f>C4+C5+C6+C7+C8+C10+C11+C9</f>
        <v>8463.3238719000656</v>
      </c>
      <c r="D12" s="649">
        <f t="shared" ref="D12:P12" si="3">D4+D5+D6+D7+D8+D10+D11+D9</f>
        <v>8595.7756503895489</v>
      </c>
      <c r="E12" s="649">
        <f t="shared" si="3"/>
        <v>8741.9737763146823</v>
      </c>
      <c r="F12" s="649">
        <f>F4+F5+F6+F7+F8+F10+F11+F9</f>
        <v>7527.6165124472154</v>
      </c>
      <c r="G12" s="649">
        <f t="shared" si="3"/>
        <v>6749.0602585428087</v>
      </c>
      <c r="H12" s="649">
        <f t="shared" si="3"/>
        <v>6589.6891431363902</v>
      </c>
      <c r="I12" s="649">
        <f t="shared" si="3"/>
        <v>6670.3993701431709</v>
      </c>
      <c r="J12" s="649">
        <f t="shared" si="3"/>
        <v>7095.6647801037752</v>
      </c>
      <c r="K12" s="649">
        <f t="shared" si="3"/>
        <v>6866.4763177095901</v>
      </c>
      <c r="L12" s="649">
        <f t="shared" si="3"/>
        <v>6258.476055320888</v>
      </c>
      <c r="M12" s="649">
        <f t="shared" si="3"/>
        <v>6130.9251423767873</v>
      </c>
      <c r="N12" s="649">
        <f t="shared" si="3"/>
        <v>6007.5273323093934</v>
      </c>
      <c r="O12" s="649">
        <f t="shared" si="3"/>
        <v>5470.7590642365285</v>
      </c>
      <c r="P12" s="650">
        <f t="shared" si="3"/>
        <v>5639.3363339323714</v>
      </c>
      <c r="Q12" s="638">
        <f>Q4+Q5+Q6+Q7+Q8+Q10+Q11+Q9</f>
        <v>3436.2574732710568</v>
      </c>
      <c r="R12" s="631">
        <f t="shared" ref="R12:AA12" si="4">R4+R5+R6+R7+R8+R10+R11+R9</f>
        <v>3210.8285771997739</v>
      </c>
      <c r="S12" s="631">
        <f t="shared" si="4"/>
        <v>2987.6507728168972</v>
      </c>
      <c r="T12" s="631">
        <f t="shared" si="4"/>
        <v>2761.5230535924416</v>
      </c>
      <c r="U12" s="631">
        <f t="shared" si="4"/>
        <v>2531.589935860221</v>
      </c>
      <c r="V12" s="631">
        <f t="shared" si="4"/>
        <v>2305.2321496541258</v>
      </c>
      <c r="W12" s="631">
        <f t="shared" si="4"/>
        <v>2117.1161103709169</v>
      </c>
      <c r="X12" s="631">
        <f t="shared" si="4"/>
        <v>1910.0642387593807</v>
      </c>
      <c r="Y12" s="631">
        <f t="shared" si="4"/>
        <v>1799.5640650449252</v>
      </c>
      <c r="Z12" s="631">
        <f t="shared" si="4"/>
        <v>1694.0359996763129</v>
      </c>
      <c r="AA12" s="632">
        <f t="shared" si="4"/>
        <v>1588.6806497626624</v>
      </c>
      <c r="AC12" s="835">
        <f>-(F12-P12)/F12</f>
        <v>-0.25084702115105056</v>
      </c>
      <c r="AD12" s="1294">
        <f t="shared" si="2"/>
        <v>-0.71828588406698957</v>
      </c>
      <c r="AE12" s="1500">
        <f>-(Q12-AA12)/Q12</f>
        <v>-0.5376712420066827</v>
      </c>
      <c r="AF12" s="502">
        <f>-(Q12-V12)/Q12</f>
        <v>-0.32914452203148808</v>
      </c>
    </row>
    <row r="13" spans="1:32">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row>
    <row r="14" spans="1:32">
      <c r="A14" s="62" t="s">
        <v>1210</v>
      </c>
      <c r="B14" s="64"/>
      <c r="C14" s="150">
        <v>2011</v>
      </c>
      <c r="D14" s="151">
        <v>2012</v>
      </c>
      <c r="E14" s="151">
        <v>2013</v>
      </c>
      <c r="F14" s="151">
        <v>2014</v>
      </c>
      <c r="G14" s="151">
        <v>2015</v>
      </c>
      <c r="H14" s="151">
        <v>2016</v>
      </c>
      <c r="I14" s="151">
        <v>2017</v>
      </c>
      <c r="J14" s="151">
        <v>2018</v>
      </c>
      <c r="K14" s="151">
        <v>2019</v>
      </c>
      <c r="L14" s="151">
        <v>2020</v>
      </c>
      <c r="M14" s="151">
        <v>2021</v>
      </c>
      <c r="N14" s="151">
        <v>2022</v>
      </c>
      <c r="O14" s="151">
        <v>2023</v>
      </c>
      <c r="P14" s="152">
        <v>2024</v>
      </c>
      <c r="Q14" s="1142">
        <v>2025</v>
      </c>
      <c r="R14" s="1142">
        <v>2026</v>
      </c>
      <c r="S14" s="1142">
        <v>2027</v>
      </c>
      <c r="T14" s="1142">
        <v>2028</v>
      </c>
      <c r="U14" s="1142">
        <v>2029</v>
      </c>
      <c r="V14" s="1142">
        <v>2030</v>
      </c>
      <c r="W14" s="1142">
        <v>2031</v>
      </c>
      <c r="X14" s="1142">
        <v>2032</v>
      </c>
      <c r="Y14" s="1142">
        <v>2033</v>
      </c>
      <c r="Z14" s="1142">
        <v>2034</v>
      </c>
      <c r="AA14" s="1143">
        <v>2035</v>
      </c>
      <c r="AC14" s="1133" t="s">
        <v>1185</v>
      </c>
      <c r="AD14" s="1135" t="s">
        <v>887</v>
      </c>
      <c r="AE14" s="1134" t="s">
        <v>886</v>
      </c>
      <c r="AF14" s="1134" t="s">
        <v>1181</v>
      </c>
    </row>
    <row r="15" spans="1:32">
      <c r="A15" s="69" t="s">
        <v>1208</v>
      </c>
      <c r="B15" s="70"/>
      <c r="C15" s="1145">
        <f t="shared" ref="C15:AA15" si="5">C4+C6+C7+C8+C11</f>
        <v>1793.4055051368664</v>
      </c>
      <c r="D15" s="1146">
        <f t="shared" si="5"/>
        <v>1826.0415667161608</v>
      </c>
      <c r="E15" s="1146">
        <f t="shared" si="5"/>
        <v>1998.6177666822973</v>
      </c>
      <c r="F15" s="1146">
        <f t="shared" si="5"/>
        <v>1783.9051008132681</v>
      </c>
      <c r="G15" s="1146">
        <f t="shared" si="5"/>
        <v>1900.1039199485319</v>
      </c>
      <c r="H15" s="1146">
        <f t="shared" si="5"/>
        <v>1783.6404798124131</v>
      </c>
      <c r="I15" s="1146">
        <f t="shared" si="5"/>
        <v>1717.3684538814307</v>
      </c>
      <c r="J15" s="1146">
        <f t="shared" si="5"/>
        <v>1769.0009881193851</v>
      </c>
      <c r="K15" s="1146">
        <f t="shared" si="5"/>
        <v>1656.4308759692042</v>
      </c>
      <c r="L15" s="1146">
        <f t="shared" si="5"/>
        <v>1380.6032814421053</v>
      </c>
      <c r="M15" s="1146">
        <f t="shared" si="5"/>
        <v>1356.6306226465754</v>
      </c>
      <c r="N15" s="1146">
        <f t="shared" si="5"/>
        <v>1047.1320104465997</v>
      </c>
      <c r="O15" s="1146">
        <f t="shared" si="5"/>
        <v>881.98240337535708</v>
      </c>
      <c r="P15" s="1146">
        <f t="shared" si="5"/>
        <v>944.03556396903855</v>
      </c>
      <c r="Q15" s="1145">
        <f t="shared" si="5"/>
        <v>912.46141406339575</v>
      </c>
      <c r="R15" s="1146">
        <f t="shared" si="5"/>
        <v>834.21042323622009</v>
      </c>
      <c r="S15" s="1146">
        <f t="shared" si="5"/>
        <v>758.86517016936909</v>
      </c>
      <c r="T15" s="1146">
        <f t="shared" si="5"/>
        <v>685.31030387111468</v>
      </c>
      <c r="U15" s="1146">
        <f t="shared" si="5"/>
        <v>612.93655001508091</v>
      </c>
      <c r="V15" s="1146">
        <f t="shared" si="5"/>
        <v>538.82669886992562</v>
      </c>
      <c r="W15" s="1146">
        <f t="shared" si="5"/>
        <v>480.82304501067415</v>
      </c>
      <c r="X15" s="1146">
        <f t="shared" si="5"/>
        <v>422.81939115142268</v>
      </c>
      <c r="Y15" s="1146">
        <f t="shared" si="5"/>
        <v>364.81573729217121</v>
      </c>
      <c r="Z15" s="1146">
        <f t="shared" si="5"/>
        <v>306.81208343291968</v>
      </c>
      <c r="AA15" s="1159">
        <f t="shared" si="5"/>
        <v>248.80842957366821</v>
      </c>
      <c r="AC15" s="357">
        <f>-(F15-P15)/F15</f>
        <v>-0.47080393259783815</v>
      </c>
      <c r="AD15" s="331">
        <f>-(P15-AA15)/P15</f>
        <v>-0.73644167754910084</v>
      </c>
      <c r="AE15" s="331">
        <f>-(Q15-AA15)/Q15</f>
        <v>-0.72732169740124308</v>
      </c>
      <c r="AF15" s="29"/>
    </row>
    <row r="16" spans="1:32">
      <c r="A16" s="91" t="s">
        <v>1209</v>
      </c>
      <c r="B16" s="92"/>
      <c r="C16" s="1148">
        <f t="shared" ref="C16:AA16" si="6">C5+C10+C9</f>
        <v>6669.9183667631987</v>
      </c>
      <c r="D16" s="1149">
        <f t="shared" si="6"/>
        <v>6769.7340836733874</v>
      </c>
      <c r="E16" s="1149">
        <f t="shared" si="6"/>
        <v>6743.3560096323872</v>
      </c>
      <c r="F16" s="1149">
        <f t="shared" si="6"/>
        <v>5743.7114116339471</v>
      </c>
      <c r="G16" s="1149">
        <f t="shared" si="6"/>
        <v>4848.9563385942765</v>
      </c>
      <c r="H16" s="1149">
        <f t="shared" si="6"/>
        <v>4806.048663323978</v>
      </c>
      <c r="I16" s="1149">
        <f t="shared" si="6"/>
        <v>4953.0309162617405</v>
      </c>
      <c r="J16" s="1149">
        <f t="shared" si="6"/>
        <v>5326.6637919843906</v>
      </c>
      <c r="K16" s="1149">
        <f t="shared" si="6"/>
        <v>5210.0454417403853</v>
      </c>
      <c r="L16" s="1149">
        <f t="shared" si="6"/>
        <v>4877.872773878782</v>
      </c>
      <c r="M16" s="1149">
        <f t="shared" si="6"/>
        <v>4774.2945197302124</v>
      </c>
      <c r="N16" s="1149">
        <f t="shared" si="6"/>
        <v>4960.3953218627939</v>
      </c>
      <c r="O16" s="1149">
        <f t="shared" si="6"/>
        <v>4588.776660861171</v>
      </c>
      <c r="P16" s="1149">
        <f t="shared" si="6"/>
        <v>4695.3007699633326</v>
      </c>
      <c r="Q16" s="1148">
        <f t="shared" si="6"/>
        <v>2523.7960592076611</v>
      </c>
      <c r="R16" s="1149">
        <f t="shared" si="6"/>
        <v>2376.6181539635541</v>
      </c>
      <c r="S16" s="1149">
        <f t="shared" si="6"/>
        <v>2228.7856026475279</v>
      </c>
      <c r="T16" s="1149">
        <f t="shared" si="6"/>
        <v>2076.2127497213269</v>
      </c>
      <c r="U16" s="1149">
        <f t="shared" si="6"/>
        <v>1918.6533858451401</v>
      </c>
      <c r="V16" s="1149">
        <f t="shared" si="6"/>
        <v>1766.4054507841997</v>
      </c>
      <c r="W16" s="1149">
        <f t="shared" si="6"/>
        <v>1636.2930653602425</v>
      </c>
      <c r="X16" s="1149">
        <f t="shared" si="6"/>
        <v>1487.2448476079583</v>
      </c>
      <c r="Y16" s="1149">
        <f t="shared" si="6"/>
        <v>1434.7483277527542</v>
      </c>
      <c r="Z16" s="1149">
        <f t="shared" si="6"/>
        <v>1387.2239162433932</v>
      </c>
      <c r="AA16" s="1161">
        <f t="shared" si="6"/>
        <v>1339.8722201889941</v>
      </c>
      <c r="AC16" s="117">
        <f>-(F16-P16)/F16</f>
        <v>-0.18253191473844732</v>
      </c>
      <c r="AD16" s="118">
        <f>-(P16-AA16)/P16</f>
        <v>-0.71463548645053943</v>
      </c>
      <c r="AE16" s="118">
        <f>-(Q16-AA16)/Q16</f>
        <v>-0.46910440116558255</v>
      </c>
      <c r="AF16" s="33"/>
    </row>
    <row r="17" spans="1:27">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row>
    <row r="18" spans="1:27">
      <c r="A18" s="15" t="s">
        <v>860</v>
      </c>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row>
    <row r="19" spans="1:27">
      <c r="A19" s="1114"/>
      <c r="B19" s="1115" t="s">
        <v>503</v>
      </c>
      <c r="C19" s="1153">
        <v>2011</v>
      </c>
      <c r="D19" s="1154">
        <v>2012</v>
      </c>
      <c r="E19" s="1154">
        <v>2013</v>
      </c>
      <c r="F19" s="1154">
        <v>2014</v>
      </c>
      <c r="G19" s="1154">
        <v>2015</v>
      </c>
      <c r="H19" s="1154">
        <v>2016</v>
      </c>
      <c r="I19" s="1154">
        <v>2017</v>
      </c>
      <c r="J19" s="1154">
        <v>2018</v>
      </c>
      <c r="K19" s="1154">
        <v>2019</v>
      </c>
      <c r="L19" s="1154">
        <v>2020</v>
      </c>
      <c r="M19" s="1154">
        <v>2021</v>
      </c>
      <c r="N19" s="1154">
        <v>2022</v>
      </c>
      <c r="O19" s="1154">
        <v>2023</v>
      </c>
      <c r="P19" s="1155">
        <v>2024</v>
      </c>
      <c r="Q19" s="158"/>
      <c r="R19" s="158"/>
      <c r="S19" s="293"/>
      <c r="T19" s="293"/>
      <c r="U19" s="293"/>
      <c r="V19" s="293"/>
      <c r="W19" s="293"/>
      <c r="X19" s="293"/>
      <c r="Y19" s="293"/>
      <c r="Z19" s="293"/>
      <c r="AA19" s="293"/>
    </row>
    <row r="20" spans="1:27">
      <c r="A20" s="18" t="s">
        <v>861</v>
      </c>
      <c r="B20" s="37" t="s">
        <v>862</v>
      </c>
      <c r="C20" s="1163">
        <v>90.605999999999995</v>
      </c>
      <c r="D20" s="1164">
        <v>91.585999999999999</v>
      </c>
      <c r="E20" s="1164">
        <v>92.271000000000001</v>
      </c>
      <c r="F20" s="1164">
        <v>92.798000000000002</v>
      </c>
      <c r="G20" s="1164">
        <v>93.85</v>
      </c>
      <c r="H20" s="1164">
        <v>94.335999999999999</v>
      </c>
      <c r="I20" s="1164">
        <v>94.888999999999996</v>
      </c>
      <c r="J20" s="1164">
        <v>95.947000000000003</v>
      </c>
      <c r="K20" s="1164">
        <v>97.108000000000004</v>
      </c>
      <c r="L20" s="1164">
        <v>100</v>
      </c>
      <c r="M20" s="1164">
        <v>101.22199999999999</v>
      </c>
      <c r="N20" s="1164">
        <v>104.482</v>
      </c>
      <c r="O20" s="1164">
        <v>110.023</v>
      </c>
      <c r="P20" s="1165">
        <v>112.58324030948074</v>
      </c>
      <c r="Q20" s="293"/>
      <c r="R20" s="293"/>
      <c r="S20" s="293"/>
      <c r="T20" s="293"/>
      <c r="U20" s="293"/>
      <c r="V20" s="293"/>
      <c r="W20" s="293"/>
      <c r="X20" s="293"/>
      <c r="Y20" s="293"/>
      <c r="Z20" s="293"/>
      <c r="AA20" s="293"/>
    </row>
    <row r="21" spans="1:27">
      <c r="A21" s="278" t="s">
        <v>863</v>
      </c>
      <c r="B21" s="42" t="s">
        <v>322</v>
      </c>
      <c r="C21" s="450"/>
      <c r="D21" s="1166">
        <v>1.0816060746529077E-2</v>
      </c>
      <c r="E21" s="1166">
        <v>7.479309064704287E-3</v>
      </c>
      <c r="F21" s="1166">
        <v>5.711436962859473E-3</v>
      </c>
      <c r="G21" s="1166">
        <v>1.1336451216620969E-2</v>
      </c>
      <c r="H21" s="1166">
        <v>5.1784762919553362E-3</v>
      </c>
      <c r="I21" s="1166">
        <v>5.8620251017638125E-3</v>
      </c>
      <c r="J21" s="1166">
        <v>1.1149869847927762E-2</v>
      </c>
      <c r="K21" s="1166">
        <v>1.2100430445975308E-2</v>
      </c>
      <c r="L21" s="1166">
        <v>2.9781274457305162E-2</v>
      </c>
      <c r="M21" s="1166">
        <v>1.2219999999999898E-2</v>
      </c>
      <c r="N21" s="1166">
        <v>3.2206437335757121E-2</v>
      </c>
      <c r="O21" s="1166">
        <v>5.3033058325836047E-2</v>
      </c>
      <c r="P21" s="1167">
        <v>2.3270046349224582E-2</v>
      </c>
      <c r="Q21" s="293"/>
      <c r="R21" s="293"/>
      <c r="S21" s="293"/>
      <c r="T21" s="293"/>
      <c r="U21" s="293"/>
      <c r="V21" s="293"/>
      <c r="W21" s="293"/>
      <c r="X21" s="293"/>
      <c r="Y21" s="293"/>
      <c r="Z21" s="293"/>
      <c r="AA21" s="293"/>
    </row>
    <row r="22" spans="1:27">
      <c r="C22" s="293"/>
      <c r="D22" s="293"/>
      <c r="E22" s="293"/>
      <c r="F22" s="293"/>
      <c r="G22" s="293"/>
      <c r="H22" s="293"/>
      <c r="I22" s="293"/>
      <c r="J22" s="293"/>
      <c r="K22" s="293"/>
      <c r="L22" s="293"/>
      <c r="M22" s="293"/>
      <c r="N22" s="293"/>
      <c r="O22" s="293"/>
      <c r="P22" s="293"/>
      <c r="Q22" s="293"/>
      <c r="R22" s="293"/>
      <c r="S22" s="293"/>
      <c r="T22" s="293"/>
      <c r="U22" s="293"/>
      <c r="V22" s="293"/>
      <c r="W22" s="293"/>
      <c r="X22" s="293"/>
      <c r="Y22" s="293"/>
      <c r="Z22" s="293"/>
      <c r="AA22" s="293"/>
    </row>
    <row r="23" spans="1:27">
      <c r="A23" s="671" t="s">
        <v>1161</v>
      </c>
      <c r="B23" s="29"/>
      <c r="C23" s="1154">
        <v>2011</v>
      </c>
      <c r="D23" s="1154">
        <v>2012</v>
      </c>
      <c r="E23" s="1154">
        <v>2013</v>
      </c>
      <c r="F23" s="1154">
        <v>2014</v>
      </c>
      <c r="G23" s="1154">
        <v>2015</v>
      </c>
      <c r="H23" s="1154">
        <v>2016</v>
      </c>
      <c r="I23" s="1154">
        <v>2017</v>
      </c>
      <c r="J23" s="1154">
        <v>2018</v>
      </c>
      <c r="K23" s="1154">
        <v>2019</v>
      </c>
      <c r="L23" s="1154">
        <v>2020</v>
      </c>
      <c r="M23" s="1154">
        <v>2021</v>
      </c>
      <c r="N23" s="1154">
        <v>2022</v>
      </c>
      <c r="O23" s="1154">
        <v>2023</v>
      </c>
      <c r="P23" s="1155">
        <v>2024</v>
      </c>
      <c r="Q23" s="1156">
        <v>2025</v>
      </c>
      <c r="R23" s="1157">
        <v>2026</v>
      </c>
      <c r="S23" s="1157">
        <v>2027</v>
      </c>
      <c r="T23" s="1157">
        <v>2028</v>
      </c>
      <c r="U23" s="1157">
        <v>2029</v>
      </c>
      <c r="V23" s="1157">
        <v>2030</v>
      </c>
      <c r="W23" s="1157">
        <v>2031</v>
      </c>
      <c r="X23" s="1157">
        <v>2032</v>
      </c>
      <c r="Y23" s="1157">
        <v>2033</v>
      </c>
      <c r="Z23" s="1157">
        <v>2034</v>
      </c>
      <c r="AA23" s="1158">
        <v>2035</v>
      </c>
    </row>
    <row r="24" spans="1:27">
      <c r="A24" s="65"/>
      <c r="B24" s="1144" t="s">
        <v>866</v>
      </c>
      <c r="C24" s="1150">
        <f t="shared" ref="C24:P24" si="7">C12</f>
        <v>8463.3238719000656</v>
      </c>
      <c r="D24" s="1151">
        <f t="shared" si="7"/>
        <v>8595.7756503895489</v>
      </c>
      <c r="E24" s="1151">
        <f t="shared" si="7"/>
        <v>8741.9737763146823</v>
      </c>
      <c r="F24" s="1151">
        <f t="shared" si="7"/>
        <v>7527.6165124472154</v>
      </c>
      <c r="G24" s="1151">
        <f t="shared" si="7"/>
        <v>6749.0602585428087</v>
      </c>
      <c r="H24" s="1151">
        <f t="shared" si="7"/>
        <v>6589.6891431363902</v>
      </c>
      <c r="I24" s="1151">
        <f t="shared" si="7"/>
        <v>6670.3993701431709</v>
      </c>
      <c r="J24" s="1151">
        <f t="shared" si="7"/>
        <v>7095.6647801037752</v>
      </c>
      <c r="K24" s="1151">
        <f t="shared" si="7"/>
        <v>6866.4763177095901</v>
      </c>
      <c r="L24" s="1151">
        <f t="shared" si="7"/>
        <v>6258.476055320888</v>
      </c>
      <c r="M24" s="1151">
        <f t="shared" si="7"/>
        <v>6130.9251423767873</v>
      </c>
      <c r="N24" s="1151">
        <f t="shared" si="7"/>
        <v>6007.5273323093934</v>
      </c>
      <c r="O24" s="1151">
        <f t="shared" si="7"/>
        <v>5470.7590642365285</v>
      </c>
      <c r="P24" s="1152">
        <f t="shared" si="7"/>
        <v>5639.3363339323714</v>
      </c>
      <c r="Q24" s="1151">
        <f>P24</f>
        <v>5639.3363339323714</v>
      </c>
      <c r="R24" s="1151">
        <f t="shared" ref="R24:AA24" si="8">Q24</f>
        <v>5639.3363339323714</v>
      </c>
      <c r="S24" s="1151">
        <f t="shared" si="8"/>
        <v>5639.3363339323714</v>
      </c>
      <c r="T24" s="1151">
        <f t="shared" si="8"/>
        <v>5639.3363339323714</v>
      </c>
      <c r="U24" s="1151">
        <f t="shared" si="8"/>
        <v>5639.3363339323714</v>
      </c>
      <c r="V24" s="1151">
        <f t="shared" si="8"/>
        <v>5639.3363339323714</v>
      </c>
      <c r="W24" s="1151">
        <f t="shared" si="8"/>
        <v>5639.3363339323714</v>
      </c>
      <c r="X24" s="1151">
        <f t="shared" si="8"/>
        <v>5639.3363339323714</v>
      </c>
      <c r="Y24" s="1151">
        <f t="shared" si="8"/>
        <v>5639.3363339323714</v>
      </c>
      <c r="Z24" s="1151">
        <f t="shared" si="8"/>
        <v>5639.3363339323714</v>
      </c>
      <c r="AA24" s="1152">
        <f t="shared" si="8"/>
        <v>5639.3363339323714</v>
      </c>
    </row>
    <row r="26" spans="1:27">
      <c r="A26" s="15" t="s">
        <v>1162</v>
      </c>
      <c r="B26" s="15" t="s">
        <v>1164</v>
      </c>
      <c r="C26" s="15" t="s">
        <v>1165</v>
      </c>
      <c r="Q26" s="1156">
        <v>2025</v>
      </c>
      <c r="R26" s="1157">
        <v>2026</v>
      </c>
      <c r="S26" s="1157">
        <v>2027</v>
      </c>
      <c r="T26" s="1157">
        <v>2028</v>
      </c>
      <c r="U26" s="1157">
        <v>2029</v>
      </c>
      <c r="V26" s="1157">
        <v>2030</v>
      </c>
      <c r="W26" s="1157">
        <v>2031</v>
      </c>
      <c r="X26" s="1157">
        <v>2032</v>
      </c>
      <c r="Y26" s="1157">
        <v>2033</v>
      </c>
      <c r="Z26" s="1157">
        <v>2034</v>
      </c>
      <c r="AA26" s="1158">
        <v>2035</v>
      </c>
    </row>
    <row r="27" spans="1:27">
      <c r="A27" s="88" t="s">
        <v>1163</v>
      </c>
      <c r="B27" s="1145">
        <f>SUM(Q27:AA27)</f>
        <v>35690.156647247371</v>
      </c>
      <c r="C27" s="458">
        <f>B27/10</f>
        <v>3569.0156647247372</v>
      </c>
      <c r="Q27" s="1145">
        <f t="shared" ref="Q27:AA27" si="9">Q24-Q12</f>
        <v>2203.0788606613146</v>
      </c>
      <c r="R27" s="1146">
        <f t="shared" si="9"/>
        <v>2428.5077567325975</v>
      </c>
      <c r="S27" s="1146">
        <f t="shared" si="9"/>
        <v>2651.6855611154742</v>
      </c>
      <c r="T27" s="1146">
        <f t="shared" si="9"/>
        <v>2877.8132803399299</v>
      </c>
      <c r="U27" s="1146">
        <f t="shared" si="9"/>
        <v>3107.7463980721504</v>
      </c>
      <c r="V27" s="1146">
        <f t="shared" si="9"/>
        <v>3334.1041842782456</v>
      </c>
      <c r="W27" s="1146">
        <f t="shared" si="9"/>
        <v>3522.2202235614545</v>
      </c>
      <c r="X27" s="1146">
        <f t="shared" si="9"/>
        <v>3729.2720951729907</v>
      </c>
      <c r="Y27" s="1146">
        <f t="shared" si="9"/>
        <v>3839.7722688874464</v>
      </c>
      <c r="Z27" s="1146">
        <f t="shared" si="9"/>
        <v>3945.3003342560587</v>
      </c>
      <c r="AA27" s="1159">
        <f t="shared" si="9"/>
        <v>4050.6556841697093</v>
      </c>
    </row>
    <row r="28" spans="1:27">
      <c r="A28" s="89" t="s">
        <v>1182</v>
      </c>
      <c r="B28" s="1147">
        <f>SUM(Q28:AA28)</f>
        <v>31472.454690273909</v>
      </c>
      <c r="C28" s="459">
        <f>B28/10</f>
        <v>3147.2454690273908</v>
      </c>
      <c r="D28" s="315">
        <f>B28/B27</f>
        <v>0.88182450419985048</v>
      </c>
      <c r="Q28" s="1147">
        <f t="shared" ref="Q28:AA28" si="10">($P$5+$P$10+$P$9)-(Q5+Q10+Q9)</f>
        <v>2171.5047107556716</v>
      </c>
      <c r="R28" s="293">
        <f t="shared" si="10"/>
        <v>2318.6826159997786</v>
      </c>
      <c r="S28" s="293">
        <f t="shared" si="10"/>
        <v>2466.5151673158048</v>
      </c>
      <c r="T28" s="293">
        <f t="shared" si="10"/>
        <v>2619.0880202420058</v>
      </c>
      <c r="U28" s="293">
        <f t="shared" si="10"/>
        <v>2776.6473841181923</v>
      </c>
      <c r="V28" s="293">
        <f t="shared" si="10"/>
        <v>2928.8953191791329</v>
      </c>
      <c r="W28" s="293">
        <f t="shared" si="10"/>
        <v>3059.0077046030901</v>
      </c>
      <c r="X28" s="293">
        <f t="shared" si="10"/>
        <v>3208.0559223553746</v>
      </c>
      <c r="Y28" s="293">
        <f t="shared" si="10"/>
        <v>3260.5524422105782</v>
      </c>
      <c r="Z28" s="293">
        <f t="shared" si="10"/>
        <v>3308.0768537199392</v>
      </c>
      <c r="AA28" s="1160">
        <f t="shared" si="10"/>
        <v>3355.4285497743385</v>
      </c>
    </row>
    <row r="29" spans="1:27">
      <c r="A29" s="89" t="s">
        <v>1183</v>
      </c>
      <c r="B29" s="1147">
        <f>SUM(Q29:AA29)</f>
        <v>4217.7019569734621</v>
      </c>
      <c r="C29" s="459">
        <f>B29/10</f>
        <v>421.7701956973462</v>
      </c>
      <c r="D29" s="315">
        <f>B29/B27</f>
        <v>0.11817549580014958</v>
      </c>
      <c r="Q29" s="1147">
        <f t="shared" ref="Q29:AA29" si="11">($P$4+$P$11+$P$6+$P$7+$P$8)-(Q4+Q11+Q6+Q7+Q8)</f>
        <v>31.574149905642798</v>
      </c>
      <c r="R29" s="293">
        <f t="shared" si="11"/>
        <v>109.82514073281845</v>
      </c>
      <c r="S29" s="293">
        <f t="shared" si="11"/>
        <v>185.17039379966945</v>
      </c>
      <c r="T29" s="293">
        <f t="shared" si="11"/>
        <v>258.72526009792387</v>
      </c>
      <c r="U29" s="293">
        <f t="shared" si="11"/>
        <v>331.09901395395764</v>
      </c>
      <c r="V29" s="293">
        <f t="shared" si="11"/>
        <v>405.20886509911293</v>
      </c>
      <c r="W29" s="293">
        <f t="shared" si="11"/>
        <v>463.2125189583644</v>
      </c>
      <c r="X29" s="293">
        <f t="shared" si="11"/>
        <v>521.21617281761587</v>
      </c>
      <c r="Y29" s="293">
        <f t="shared" si="11"/>
        <v>579.21982667686734</v>
      </c>
      <c r="Z29" s="293">
        <f t="shared" si="11"/>
        <v>637.22348053611881</v>
      </c>
      <c r="AA29" s="1160">
        <f t="shared" si="11"/>
        <v>695.22713439537029</v>
      </c>
    </row>
    <row r="30" spans="1:27">
      <c r="A30" s="90" t="s">
        <v>1184</v>
      </c>
      <c r="B30" s="1148">
        <f>SUM(Q30:AA30)</f>
        <v>25009.296583501007</v>
      </c>
      <c r="C30" s="1094">
        <f>B30/10</f>
        <v>2500.9296583501009</v>
      </c>
      <c r="D30" s="315">
        <f>B30/B27</f>
        <v>0.70073372976999437</v>
      </c>
      <c r="Q30" s="1148">
        <f t="shared" ref="Q30:AA30" si="12">($P$5)-(Q5)</f>
        <v>1987.0402802775839</v>
      </c>
      <c r="R30" s="1149">
        <f t="shared" si="12"/>
        <v>2035.6837550436037</v>
      </c>
      <c r="S30" s="1149">
        <f t="shared" si="12"/>
        <v>2084.9818758815418</v>
      </c>
      <c r="T30" s="1149">
        <f t="shared" si="12"/>
        <v>2139.0202983296558</v>
      </c>
      <c r="U30" s="1149">
        <f t="shared" si="12"/>
        <v>2198.045231727755</v>
      </c>
      <c r="V30" s="1149">
        <f t="shared" si="12"/>
        <v>2251.7587363106077</v>
      </c>
      <c r="W30" s="1149">
        <f t="shared" si="12"/>
        <v>2349.0263115752023</v>
      </c>
      <c r="X30" s="1149">
        <f t="shared" si="12"/>
        <v>2465.2297191681241</v>
      </c>
      <c r="Y30" s="1149">
        <f t="shared" si="12"/>
        <v>2484.881428863966</v>
      </c>
      <c r="Z30" s="1149">
        <f t="shared" si="12"/>
        <v>2499.5610302139639</v>
      </c>
      <c r="AA30" s="1161">
        <f t="shared" si="12"/>
        <v>2514.0679161090006</v>
      </c>
    </row>
    <row r="32" spans="1:27" ht="13.5" customHeight="1">
      <c r="A32" s="15" t="s">
        <v>753</v>
      </c>
      <c r="B32" s="1223" t="s">
        <v>890</v>
      </c>
      <c r="C32" s="15" t="s">
        <v>1166</v>
      </c>
      <c r="D32" s="15" t="s">
        <v>1165</v>
      </c>
      <c r="Q32" s="1156">
        <v>2025</v>
      </c>
      <c r="R32" s="1157">
        <v>2026</v>
      </c>
      <c r="S32" s="1157">
        <v>2027</v>
      </c>
      <c r="T32" s="1157">
        <v>2028</v>
      </c>
      <c r="U32" s="1157">
        <v>2029</v>
      </c>
      <c r="V32" s="1158">
        <v>2030</v>
      </c>
    </row>
    <row r="33" spans="1:22">
      <c r="A33" s="88" t="s">
        <v>247</v>
      </c>
      <c r="B33" s="28">
        <f>-(DEP_ENER!F529+DEP_ENER!F530)/10^6</f>
        <v>439.76271773558045</v>
      </c>
      <c r="C33" s="70">
        <f>SUM(Q33:V33)</f>
        <v>1539.1695120745317</v>
      </c>
      <c r="D33" s="29">
        <f>AVERAGE(Q33:V33)</f>
        <v>256.52825201242194</v>
      </c>
      <c r="Q33" s="69">
        <f>DEP_ENER!J532+DEP_ENER!J533</f>
        <v>73.293786289263394</v>
      </c>
      <c r="R33" s="70">
        <f>DEP_ENER!K532+DEP_ENER!K533</f>
        <v>146.58757257852682</v>
      </c>
      <c r="S33" s="70">
        <f>DEP_ENER!L532+DEP_ENER!L533</f>
        <v>219.88135886779023</v>
      </c>
      <c r="T33" s="70">
        <f>DEP_ENER!M532+DEP_ENER!M533</f>
        <v>293.17514515705363</v>
      </c>
      <c r="U33" s="70">
        <f>DEP_ENER!N532+DEP_ENER!N533</f>
        <v>366.46893144631707</v>
      </c>
      <c r="V33" s="29">
        <f>DEP_ENER!O532+DEP_ENER!O533</f>
        <v>439.76271773558045</v>
      </c>
    </row>
    <row r="34" spans="1:22">
      <c r="A34" s="90" t="s">
        <v>889</v>
      </c>
      <c r="B34" s="429">
        <f>-(DEP_ENER!G474+DEP_ENER!G475)/10^6</f>
        <v>574.49217805504293</v>
      </c>
      <c r="C34" s="92">
        <f>SUM(Q34:V34)</f>
        <v>2010.7226231926486</v>
      </c>
      <c r="D34" s="33">
        <f>AVERAGE(Q34:V34)</f>
        <v>335.12043719877477</v>
      </c>
      <c r="E34">
        <f>SUM(D33:D34)</f>
        <v>591.64868921119671</v>
      </c>
      <c r="Q34" s="91">
        <f>-(DEP_ENER!J480+DEP_ENER!J481)</f>
        <v>95.74869634250706</v>
      </c>
      <c r="R34" s="92">
        <f>-(DEP_ENER!K480+DEP_ENER!K481)</f>
        <v>191.49739268501412</v>
      </c>
      <c r="S34" s="92">
        <f>-(DEP_ENER!L480+DEP_ENER!L481)</f>
        <v>287.24608902752118</v>
      </c>
      <c r="T34" s="92">
        <f>-(DEP_ENER!M480+DEP_ENER!M481)</f>
        <v>382.99478537002824</v>
      </c>
      <c r="U34" s="92">
        <f>-(DEP_ENER!N480+DEP_ENER!N481)</f>
        <v>478.7434817125353</v>
      </c>
      <c r="V34" s="430">
        <f>-(DEP_ENER!O480+DEP_ENER!O481)</f>
        <v>574.49217805504281</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38B05-A207-48FE-9996-B9E306D189ED}">
  <dimension ref="A1:AW109"/>
  <sheetViews>
    <sheetView zoomScale="47" zoomScaleNormal="55" workbookViewId="0">
      <selection activeCell="D100" sqref="D100"/>
    </sheetView>
  </sheetViews>
  <sheetFormatPr baseColWidth="10" defaultColWidth="11.453125" defaultRowHeight="14.5"/>
  <cols>
    <col min="1" max="1" width="31.453125" customWidth="1"/>
    <col min="2" max="2" width="13.54296875" customWidth="1"/>
    <col min="4" max="4" width="46.54296875" customWidth="1"/>
    <col min="5" max="7" width="12.453125" bestFit="1" customWidth="1"/>
    <col min="8" max="8" width="18.1796875" customWidth="1"/>
    <col min="9" max="10" width="13.453125" bestFit="1" customWidth="1"/>
    <col min="11" max="11" width="15" bestFit="1" customWidth="1"/>
    <col min="21" max="21" width="13.453125" bestFit="1" customWidth="1"/>
  </cols>
  <sheetData>
    <row r="1" spans="1:29" ht="21">
      <c r="A1" s="95" t="s">
        <v>264</v>
      </c>
      <c r="B1" s="95" t="s">
        <v>265</v>
      </c>
      <c r="C1" s="1" t="s">
        <v>266</v>
      </c>
      <c r="G1" s="2"/>
      <c r="H1" s="1253">
        <v>2011</v>
      </c>
      <c r="I1" s="1254">
        <v>2012</v>
      </c>
      <c r="J1" s="1254">
        <v>2013</v>
      </c>
      <c r="K1" s="1254">
        <v>2014</v>
      </c>
      <c r="L1" s="1254">
        <v>2015</v>
      </c>
      <c r="M1" s="1254">
        <v>2016</v>
      </c>
      <c r="N1" s="1254">
        <v>2017</v>
      </c>
      <c r="O1" s="1254">
        <v>2018</v>
      </c>
      <c r="P1" s="1254">
        <v>2019</v>
      </c>
      <c r="Q1" s="1254">
        <v>2020</v>
      </c>
      <c r="R1" s="1254">
        <v>2021</v>
      </c>
      <c r="S1" s="1254">
        <v>2022</v>
      </c>
      <c r="T1" s="1254">
        <v>2023</v>
      </c>
      <c r="U1" s="1255">
        <v>2024</v>
      </c>
      <c r="V1" s="454"/>
      <c r="W1" s="454"/>
      <c r="X1" s="1417">
        <v>2025</v>
      </c>
      <c r="Y1" s="1418">
        <v>2026</v>
      </c>
      <c r="Z1" s="1418">
        <v>2027</v>
      </c>
      <c r="AA1" s="1418">
        <v>2028</v>
      </c>
      <c r="AB1" s="1418">
        <v>2029</v>
      </c>
      <c r="AC1" s="1419">
        <v>2030</v>
      </c>
    </row>
    <row r="3" spans="1:29">
      <c r="C3" s="7" t="s">
        <v>267</v>
      </c>
    </row>
    <row r="4" spans="1:29">
      <c r="C4" t="s">
        <v>268</v>
      </c>
    </row>
    <row r="6" spans="1:29">
      <c r="C6" s="7" t="s">
        <v>269</v>
      </c>
    </row>
    <row r="23" spans="1:16">
      <c r="C23" t="s">
        <v>270</v>
      </c>
    </row>
    <row r="25" spans="1:16" s="8" customFormat="1" ht="21">
      <c r="C25" s="9" t="s">
        <v>271</v>
      </c>
      <c r="P25" s="10"/>
    </row>
    <row r="27" spans="1:16">
      <c r="C27" s="7" t="s">
        <v>272</v>
      </c>
    </row>
    <row r="28" spans="1:16">
      <c r="C28" s="96" t="s">
        <v>273</v>
      </c>
    </row>
    <row r="29" spans="1:16">
      <c r="A29" t="s">
        <v>274</v>
      </c>
      <c r="B29" s="94">
        <v>45645</v>
      </c>
      <c r="C29" t="s">
        <v>275</v>
      </c>
    </row>
    <row r="30" spans="1:16">
      <c r="C30" s="96" t="s">
        <v>276</v>
      </c>
    </row>
    <row r="32" spans="1:16">
      <c r="C32" s="7" t="s">
        <v>277</v>
      </c>
    </row>
    <row r="34" spans="1:22">
      <c r="A34" t="s">
        <v>278</v>
      </c>
      <c r="B34" s="94">
        <v>45645</v>
      </c>
      <c r="C34" s="15" t="s">
        <v>279</v>
      </c>
      <c r="H34" s="11" t="s">
        <v>280</v>
      </c>
      <c r="N34" s="80"/>
    </row>
    <row r="35" spans="1:22">
      <c r="C35" s="16"/>
      <c r="D35" s="17"/>
      <c r="E35" s="17" t="s">
        <v>281</v>
      </c>
      <c r="F35" s="23" t="s">
        <v>282</v>
      </c>
      <c r="H35" s="156">
        <v>2011</v>
      </c>
      <c r="I35" s="157">
        <v>2012</v>
      </c>
      <c r="J35" s="157">
        <v>2013</v>
      </c>
      <c r="K35" s="157">
        <v>2014</v>
      </c>
      <c r="L35" s="157">
        <v>2015</v>
      </c>
      <c r="M35" s="157">
        <v>2016</v>
      </c>
      <c r="N35" s="45">
        <v>2017</v>
      </c>
      <c r="O35" s="45">
        <v>2018</v>
      </c>
      <c r="P35" s="45">
        <v>2019</v>
      </c>
      <c r="Q35" s="45">
        <v>2020</v>
      </c>
      <c r="R35" s="45">
        <v>2021</v>
      </c>
      <c r="S35" s="45">
        <v>2022</v>
      </c>
      <c r="T35" s="46">
        <v>2023</v>
      </c>
    </row>
    <row r="36" spans="1:22">
      <c r="C36" s="18" t="s">
        <v>283</v>
      </c>
      <c r="D36" s="19"/>
      <c r="E36" s="19"/>
      <c r="F36" s="24"/>
      <c r="H36" s="44"/>
      <c r="I36" s="45"/>
      <c r="J36" s="45"/>
      <c r="K36" s="45"/>
      <c r="L36" s="45"/>
      <c r="M36" s="45"/>
      <c r="N36" s="45"/>
      <c r="O36" s="45"/>
      <c r="P36" s="45"/>
      <c r="Q36" s="45"/>
      <c r="R36" s="45"/>
      <c r="S36" s="45"/>
      <c r="T36" s="46"/>
    </row>
    <row r="37" spans="1:22">
      <c r="C37" s="14" t="s">
        <v>284</v>
      </c>
      <c r="D37" s="2"/>
      <c r="E37" s="25" t="s">
        <v>285</v>
      </c>
      <c r="F37" s="26"/>
      <c r="H37" s="162">
        <v>81.022999999999996</v>
      </c>
      <c r="I37" s="160">
        <v>69.978999999999985</v>
      </c>
      <c r="J37" s="160">
        <v>68.223269999999999</v>
      </c>
      <c r="K37" s="160">
        <v>68.230613999999989</v>
      </c>
      <c r="L37" s="160">
        <v>68.719473047619033</v>
      </c>
      <c r="M37" s="160">
        <v>69.23576352380951</v>
      </c>
      <c r="N37" s="160">
        <v>69.845262744285705</v>
      </c>
      <c r="O37" s="160">
        <v>70.335194835238084</v>
      </c>
      <c r="P37" s="160">
        <v>71.176435174761892</v>
      </c>
      <c r="Q37" s="160">
        <v>72.094396768095223</v>
      </c>
      <c r="R37" s="160">
        <v>72.094396768095223</v>
      </c>
      <c r="S37" s="160">
        <v>72.094396768095223</v>
      </c>
      <c r="T37" s="163"/>
    </row>
    <row r="38" spans="1:22">
      <c r="C38" s="14" t="s">
        <v>286</v>
      </c>
      <c r="D38" s="2"/>
      <c r="E38" s="25" t="s">
        <v>232</v>
      </c>
      <c r="F38" s="26" t="s">
        <v>287</v>
      </c>
      <c r="H38" s="162">
        <v>287</v>
      </c>
      <c r="I38" s="160">
        <v>289</v>
      </c>
      <c r="J38" s="160">
        <v>291</v>
      </c>
      <c r="K38" s="160">
        <v>293</v>
      </c>
      <c r="L38" s="160">
        <v>295</v>
      </c>
      <c r="M38" s="160">
        <v>297</v>
      </c>
      <c r="N38" s="160">
        <v>299</v>
      </c>
      <c r="O38" s="160">
        <v>301</v>
      </c>
      <c r="P38" s="160">
        <v>303</v>
      </c>
      <c r="Q38" s="160">
        <v>305</v>
      </c>
      <c r="R38" s="160">
        <v>307</v>
      </c>
      <c r="S38" s="160">
        <v>309</v>
      </c>
      <c r="T38" s="163"/>
    </row>
    <row r="39" spans="1:22">
      <c r="C39" s="20" t="s">
        <v>288</v>
      </c>
      <c r="D39" s="21"/>
      <c r="E39" s="22" t="s">
        <v>232</v>
      </c>
      <c r="F39" s="27" t="s">
        <v>289</v>
      </c>
      <c r="H39" s="162">
        <v>571.97700000000009</v>
      </c>
      <c r="I39" s="160">
        <v>589.47100000000012</v>
      </c>
      <c r="J39" s="160">
        <v>597.67673000000013</v>
      </c>
      <c r="K39" s="160">
        <v>604.66938600000026</v>
      </c>
      <c r="L39" s="160">
        <v>611.18052695238123</v>
      </c>
      <c r="M39" s="160">
        <v>611.63595560428962</v>
      </c>
      <c r="N39" s="160">
        <v>611.99817551191234</v>
      </c>
      <c r="O39" s="160">
        <v>610.95980516476197</v>
      </c>
      <c r="P39" s="160">
        <v>615.6915648252384</v>
      </c>
      <c r="Q39" s="160">
        <v>615.24286709628495</v>
      </c>
      <c r="R39" s="160">
        <v>615.71213096066481</v>
      </c>
      <c r="S39" s="160">
        <v>613.71213096066481</v>
      </c>
      <c r="T39" s="163"/>
    </row>
    <row r="40" spans="1:22">
      <c r="C40" s="18" t="s">
        <v>290</v>
      </c>
      <c r="D40" s="19"/>
      <c r="E40" s="19"/>
      <c r="F40" s="24"/>
      <c r="H40" s="164"/>
      <c r="I40" s="153"/>
      <c r="J40" s="153"/>
      <c r="K40" s="153"/>
      <c r="L40" s="153"/>
      <c r="M40" s="153"/>
      <c r="N40" s="153"/>
      <c r="O40" s="153"/>
      <c r="P40" s="153"/>
      <c r="Q40" s="153"/>
      <c r="R40" s="153"/>
      <c r="S40" s="153"/>
      <c r="T40" s="165"/>
    </row>
    <row r="41" spans="1:22">
      <c r="C41" s="14" t="s">
        <v>284</v>
      </c>
      <c r="D41" s="2"/>
      <c r="E41" s="25" t="s">
        <v>285</v>
      </c>
      <c r="F41" s="26"/>
      <c r="H41" s="166">
        <v>8.6194680851063812E-2</v>
      </c>
      <c r="I41" s="161">
        <v>7.3782487215983961E-2</v>
      </c>
      <c r="J41" s="161">
        <v>7.1296133347267213E-2</v>
      </c>
      <c r="K41" s="161">
        <v>7.0639418159229694E-2</v>
      </c>
      <c r="L41" s="161">
        <v>7.0488740432474106E-2</v>
      </c>
      <c r="M41" s="161">
        <v>7.0802501155818542E-2</v>
      </c>
      <c r="N41" s="161">
        <v>7.1209389817054575E-2</v>
      </c>
      <c r="O41" s="161">
        <v>7.1602924615556507E-2</v>
      </c>
      <c r="P41" s="161">
        <v>7.1904976395602116E-2</v>
      </c>
      <c r="Q41" s="161">
        <v>7.2651103000348632E-2</v>
      </c>
      <c r="R41" s="161">
        <v>7.247077171145401E-2</v>
      </c>
      <c r="S41" s="161">
        <v>7.247077171145401E-2</v>
      </c>
      <c r="T41" s="167">
        <v>7.247077171145401E-2</v>
      </c>
    </row>
    <row r="42" spans="1:22">
      <c r="C42" s="14" t="s">
        <v>286</v>
      </c>
      <c r="D42" s="2"/>
      <c r="E42" s="25" t="s">
        <v>232</v>
      </c>
      <c r="F42" s="26" t="s">
        <v>287</v>
      </c>
      <c r="H42" s="166">
        <v>0.30531914893617018</v>
      </c>
      <c r="I42" s="161">
        <v>0.30470768095313405</v>
      </c>
      <c r="J42" s="161">
        <v>0.30410701222698294</v>
      </c>
      <c r="K42" s="161">
        <v>0.3033440314732373</v>
      </c>
      <c r="L42" s="161">
        <v>0.30259513796286791</v>
      </c>
      <c r="M42" s="161">
        <v>0.30372081960281505</v>
      </c>
      <c r="N42" s="161">
        <v>0.30483968015484719</v>
      </c>
      <c r="O42" s="161">
        <v>0.30642525921439079</v>
      </c>
      <c r="P42" s="161">
        <v>0.30610141958321707</v>
      </c>
      <c r="Q42" s="161">
        <v>0.30735518165695269</v>
      </c>
      <c r="R42" s="161">
        <v>0.30860271966742198</v>
      </c>
      <c r="S42" s="161">
        <v>0.31061316083789375</v>
      </c>
      <c r="T42" s="167">
        <v>0.31061316083789375</v>
      </c>
    </row>
    <row r="43" spans="1:22">
      <c r="C43" s="20" t="s">
        <v>288</v>
      </c>
      <c r="D43" s="21"/>
      <c r="E43" s="22" t="s">
        <v>232</v>
      </c>
      <c r="F43" s="27" t="s">
        <v>289</v>
      </c>
      <c r="H43" s="168">
        <v>0.60848617021276596</v>
      </c>
      <c r="I43" s="169">
        <v>0.62150983183088204</v>
      </c>
      <c r="J43" s="169">
        <v>0.62459685442574986</v>
      </c>
      <c r="K43" s="169">
        <v>0.6260165503675329</v>
      </c>
      <c r="L43" s="169">
        <v>0.62691612160465793</v>
      </c>
      <c r="M43" s="169">
        <v>0.62547667924136641</v>
      </c>
      <c r="N43" s="169">
        <v>0.62395093002809821</v>
      </c>
      <c r="O43" s="169">
        <v>0.6219718161700527</v>
      </c>
      <c r="P43" s="169">
        <v>0.62199360402118087</v>
      </c>
      <c r="Q43" s="169">
        <v>0.61999371534269865</v>
      </c>
      <c r="R43" s="169">
        <v>0.61892650862112397</v>
      </c>
      <c r="S43" s="169">
        <v>0.61691606745065208</v>
      </c>
      <c r="T43" s="170">
        <v>0.61691606745065208</v>
      </c>
    </row>
    <row r="45" spans="1:22">
      <c r="H45" s="11" t="s">
        <v>280</v>
      </c>
      <c r="N45" s="80"/>
    </row>
    <row r="46" spans="1:22">
      <c r="A46" t="s">
        <v>291</v>
      </c>
      <c r="B46" s="94">
        <v>46029</v>
      </c>
      <c r="C46" s="15" t="s">
        <v>292</v>
      </c>
      <c r="H46" s="156">
        <v>2011</v>
      </c>
      <c r="I46" s="157">
        <v>2012</v>
      </c>
      <c r="J46" s="157">
        <v>2013</v>
      </c>
      <c r="K46" s="157">
        <v>2014</v>
      </c>
      <c r="L46" s="157">
        <v>2015</v>
      </c>
      <c r="M46" s="157">
        <v>2016</v>
      </c>
      <c r="N46" s="45">
        <v>2017</v>
      </c>
      <c r="O46" s="45">
        <v>2018</v>
      </c>
      <c r="P46" s="45">
        <v>2019</v>
      </c>
      <c r="Q46" s="45">
        <v>2020</v>
      </c>
      <c r="R46" s="45">
        <v>2021</v>
      </c>
      <c r="S46" s="45">
        <v>2022</v>
      </c>
      <c r="T46" s="45">
        <v>2023</v>
      </c>
      <c r="U46" s="45">
        <v>2024</v>
      </c>
      <c r="V46" s="46">
        <v>2025</v>
      </c>
    </row>
    <row r="47" spans="1:22">
      <c r="B47" s="94"/>
      <c r="C47" s="36" t="s">
        <v>286</v>
      </c>
      <c r="D47" s="19"/>
      <c r="E47" s="19"/>
      <c r="F47" s="24"/>
      <c r="H47" s="69"/>
      <c r="I47" s="70"/>
      <c r="J47" s="70"/>
      <c r="K47" s="70"/>
      <c r="L47" s="70"/>
      <c r="M47" s="70"/>
      <c r="N47" s="45"/>
      <c r="O47" s="45"/>
      <c r="P47" s="45"/>
      <c r="Q47" s="45"/>
      <c r="R47" s="45"/>
      <c r="S47" s="45"/>
      <c r="T47" s="45"/>
      <c r="U47" s="633"/>
      <c r="V47" s="634"/>
    </row>
    <row r="48" spans="1:22">
      <c r="C48" s="14" t="s">
        <v>293</v>
      </c>
      <c r="D48" s="37"/>
      <c r="E48" s="37" t="s">
        <v>294</v>
      </c>
      <c r="F48" s="34" t="s">
        <v>295</v>
      </c>
      <c r="H48" s="47">
        <v>120.5335820521755</v>
      </c>
      <c r="I48" s="159">
        <v>122.20081471947269</v>
      </c>
      <c r="J48" s="159">
        <v>122.90543538467398</v>
      </c>
      <c r="K48" s="159">
        <v>126.37312351175066</v>
      </c>
      <c r="L48" s="159">
        <v>131.55635835756792</v>
      </c>
      <c r="M48" s="159">
        <v>137.0264881270499</v>
      </c>
      <c r="N48" s="159">
        <v>139.42515340095423</v>
      </c>
      <c r="O48" s="159">
        <v>147.95034308876748</v>
      </c>
      <c r="P48" s="159">
        <v>157.53047129041147</v>
      </c>
      <c r="Q48" s="159">
        <v>146.90421839985817</v>
      </c>
      <c r="R48" s="159">
        <v>165.71699434769465</v>
      </c>
      <c r="S48" s="159">
        <v>201.79522242166166</v>
      </c>
      <c r="T48" s="159">
        <v>229.85414864649707</v>
      </c>
      <c r="U48" s="380">
        <v>238.42245271742249</v>
      </c>
      <c r="V48" s="630">
        <v>242.27015025489897</v>
      </c>
    </row>
    <row r="49" spans="1:22">
      <c r="C49" s="14" t="s">
        <v>296</v>
      </c>
      <c r="D49" s="37"/>
      <c r="E49" s="37" t="s">
        <v>232</v>
      </c>
      <c r="F49" s="34" t="s">
        <v>295</v>
      </c>
      <c r="H49" s="47">
        <v>191.15274450538917</v>
      </c>
      <c r="I49" s="159">
        <v>194.29712906535903</v>
      </c>
      <c r="J49" s="159">
        <v>206.06198416200598</v>
      </c>
      <c r="K49" s="159">
        <v>218.34703385443621</v>
      </c>
      <c r="L49" s="159">
        <v>231.3235370383085</v>
      </c>
      <c r="M49" s="159">
        <v>287.75434345308713</v>
      </c>
      <c r="N49" s="159">
        <v>345.00014417092564</v>
      </c>
      <c r="O49" s="159">
        <v>257.56431970535107</v>
      </c>
      <c r="P49" s="159">
        <v>165.9676123613277</v>
      </c>
      <c r="Q49" s="159">
        <v>160.65497576910312</v>
      </c>
      <c r="R49" s="159">
        <v>210.73720586530962</v>
      </c>
      <c r="S49" s="159">
        <v>241.05917965983116</v>
      </c>
      <c r="T49" s="159">
        <v>241.18274435098115</v>
      </c>
      <c r="U49" s="380">
        <v>245.42262539960217</v>
      </c>
      <c r="V49" s="630">
        <v>255.33279479531382</v>
      </c>
    </row>
    <row r="50" spans="1:22">
      <c r="C50" s="14" t="s">
        <v>297</v>
      </c>
      <c r="D50" s="37"/>
      <c r="E50" s="37" t="s">
        <v>232</v>
      </c>
      <c r="F50" s="34" t="s">
        <v>298</v>
      </c>
      <c r="H50" s="47">
        <v>30.994802749819854</v>
      </c>
      <c r="I50" s="159">
        <v>34.365803702722808</v>
      </c>
      <c r="J50" s="159">
        <v>37.881617986038833</v>
      </c>
      <c r="K50" s="159">
        <v>41.861476343306748</v>
      </c>
      <c r="L50" s="159">
        <v>48.688087935485719</v>
      </c>
      <c r="M50" s="159">
        <v>56.090836321457019</v>
      </c>
      <c r="N50" s="159">
        <v>61.152378475260512</v>
      </c>
      <c r="O50" s="159">
        <v>69.898024324033017</v>
      </c>
      <c r="P50" s="159">
        <v>67.437487377047745</v>
      </c>
      <c r="Q50" s="159">
        <v>67.67482358476434</v>
      </c>
      <c r="R50" s="159">
        <v>90.828569728989891</v>
      </c>
      <c r="S50" s="159">
        <v>73.50857965034804</v>
      </c>
      <c r="T50" s="159">
        <v>59.444815822551639</v>
      </c>
      <c r="U50" s="380">
        <v>68.399173361318717</v>
      </c>
      <c r="V50" s="630">
        <v>69.503009547500781</v>
      </c>
    </row>
    <row r="51" spans="1:22">
      <c r="C51" s="14" t="s">
        <v>299</v>
      </c>
      <c r="D51" s="37"/>
      <c r="E51" s="37" t="s">
        <v>232</v>
      </c>
      <c r="F51" s="34" t="s">
        <v>298</v>
      </c>
      <c r="H51" s="47">
        <v>82.203607293000488</v>
      </c>
      <c r="I51" s="159">
        <v>91.144088081134385</v>
      </c>
      <c r="J51" s="159">
        <v>100.46863900645081</v>
      </c>
      <c r="K51" s="159">
        <v>111.02391551920485</v>
      </c>
      <c r="L51" s="159">
        <v>129.12927669846212</v>
      </c>
      <c r="M51" s="159">
        <v>148.76265285255994</v>
      </c>
      <c r="N51" s="159">
        <v>162.18674291264747</v>
      </c>
      <c r="O51" s="159">
        <v>185.38171668547886</v>
      </c>
      <c r="P51" s="159">
        <v>178.85594478260484</v>
      </c>
      <c r="Q51" s="159">
        <v>179.48540168133155</v>
      </c>
      <c r="R51" s="159">
        <v>240.89316319427746</v>
      </c>
      <c r="S51" s="159">
        <v>194.95753733353175</v>
      </c>
      <c r="T51" s="159">
        <v>157.65798979024567</v>
      </c>
      <c r="U51" s="380">
        <v>181.40650326262792</v>
      </c>
      <c r="V51" s="630">
        <v>184.33406879989334</v>
      </c>
    </row>
    <row r="52" spans="1:22">
      <c r="C52" s="14" t="s">
        <v>300</v>
      </c>
      <c r="D52" s="37"/>
      <c r="E52" s="37" t="s">
        <v>232</v>
      </c>
      <c r="F52" s="34" t="s">
        <v>298</v>
      </c>
      <c r="H52" s="47">
        <v>33.658924589425425</v>
      </c>
      <c r="I52" s="159">
        <v>32.210974964876435</v>
      </c>
      <c r="J52" s="159">
        <v>29.926755020209161</v>
      </c>
      <c r="K52" s="159">
        <v>26.390930738171644</v>
      </c>
      <c r="L52" s="159">
        <v>16.214291534436125</v>
      </c>
      <c r="M52" s="159">
        <v>16.293204426512382</v>
      </c>
      <c r="N52" s="159">
        <v>16.18628402749</v>
      </c>
      <c r="O52" s="159">
        <v>13.579051978541342</v>
      </c>
      <c r="P52" s="159">
        <v>9.8172495843980681</v>
      </c>
      <c r="Q52" s="159">
        <v>8.9895056098042954</v>
      </c>
      <c r="R52" s="159">
        <v>10.481798932788159</v>
      </c>
      <c r="S52" s="159">
        <v>9.74238414358312</v>
      </c>
      <c r="T52" s="159">
        <v>7.8962822066508673</v>
      </c>
      <c r="U52" s="380">
        <v>10.189329997473799</v>
      </c>
      <c r="V52" s="630">
        <v>10.353766943294005</v>
      </c>
    </row>
    <row r="53" spans="1:22">
      <c r="C53" s="14" t="s">
        <v>301</v>
      </c>
      <c r="D53" s="37"/>
      <c r="E53" s="37" t="s">
        <v>232</v>
      </c>
      <c r="F53" s="34" t="s">
        <v>298</v>
      </c>
      <c r="H53" s="47">
        <v>54.163786695627117</v>
      </c>
      <c r="I53" s="159">
        <v>51.833752817042544</v>
      </c>
      <c r="J53" s="159">
        <v>48.157996584244628</v>
      </c>
      <c r="K53" s="159">
        <v>42.468164406253223</v>
      </c>
      <c r="L53" s="159">
        <v>26.091963388747786</v>
      </c>
      <c r="M53" s="159">
        <v>26.218949651859003</v>
      </c>
      <c r="N53" s="159">
        <v>26.046893837340235</v>
      </c>
      <c r="O53" s="159">
        <v>21.851348011445832</v>
      </c>
      <c r="P53" s="159">
        <v>15.797872894433677</v>
      </c>
      <c r="Q53" s="159">
        <v>14.4658710962368</v>
      </c>
      <c r="R53" s="159">
        <v>16.867262650463704</v>
      </c>
      <c r="S53" s="159">
        <v>15.677399771283183</v>
      </c>
      <c r="T53" s="159">
        <v>12.706661022196801</v>
      </c>
      <c r="U53" s="380">
        <v>16.396622984440601</v>
      </c>
      <c r="V53" s="630">
        <v>16.661234161622541</v>
      </c>
    </row>
    <row r="54" spans="1:22">
      <c r="C54" s="14" t="s">
        <v>302</v>
      </c>
      <c r="D54" s="37"/>
      <c r="E54" s="37" t="s">
        <v>232</v>
      </c>
      <c r="F54" s="34" t="s">
        <v>298</v>
      </c>
      <c r="H54" s="47">
        <v>15.091698955898728</v>
      </c>
      <c r="I54" s="159">
        <v>16.467432484280042</v>
      </c>
      <c r="J54" s="159">
        <v>17.822804273222385</v>
      </c>
      <c r="K54" s="159">
        <v>19.241389947128681</v>
      </c>
      <c r="L54" s="159">
        <v>21.13581019559388</v>
      </c>
      <c r="M54" s="159">
        <v>24.103263834476756</v>
      </c>
      <c r="N54" s="159">
        <v>26.108954199800657</v>
      </c>
      <c r="O54" s="159">
        <v>29.282502251106131</v>
      </c>
      <c r="P54" s="159">
        <v>27.849015785007193</v>
      </c>
      <c r="Q54" s="159">
        <v>27.837044855281526</v>
      </c>
      <c r="R54" s="159">
        <v>37.155033601255596</v>
      </c>
      <c r="S54" s="159">
        <v>30.233839517726448</v>
      </c>
      <c r="T54" s="159">
        <v>24.451752022577242</v>
      </c>
      <c r="U54" s="380">
        <v>28.275446653919836</v>
      </c>
      <c r="V54" s="630">
        <v>28.731760080869943</v>
      </c>
    </row>
    <row r="55" spans="1:22">
      <c r="C55" s="14" t="s">
        <v>303</v>
      </c>
      <c r="D55" s="37"/>
      <c r="E55" s="37" t="s">
        <v>232</v>
      </c>
      <c r="F55" s="34" t="s">
        <v>298</v>
      </c>
      <c r="H55" s="47">
        <v>40.02581027434011</v>
      </c>
      <c r="I55" s="159">
        <v>43.67449484961228</v>
      </c>
      <c r="J55" s="159">
        <v>47.269176550720239</v>
      </c>
      <c r="K55" s="159">
        <v>51.031512468471711</v>
      </c>
      <c r="L55" s="159">
        <v>56.055844431792472</v>
      </c>
      <c r="M55" s="159">
        <v>63.926047561003585</v>
      </c>
      <c r="N55" s="159">
        <v>69.245487225558279</v>
      </c>
      <c r="O55" s="159">
        <v>77.662288579020625</v>
      </c>
      <c r="P55" s="159">
        <v>73.86043316893209</v>
      </c>
      <c r="Q55" s="159">
        <v>73.828684181398842</v>
      </c>
      <c r="R55" s="159">
        <v>98.541610855503933</v>
      </c>
      <c r="S55" s="159">
        <v>80.185400460057082</v>
      </c>
      <c r="T55" s="159">
        <v>64.850298842487476</v>
      </c>
      <c r="U55" s="380">
        <v>74.991401995178705</v>
      </c>
      <c r="V55" s="630">
        <v>76.201624562307231</v>
      </c>
    </row>
    <row r="56" spans="1:22">
      <c r="C56" s="14" t="s">
        <v>304</v>
      </c>
      <c r="D56" s="37"/>
      <c r="E56" s="37" t="s">
        <v>232</v>
      </c>
      <c r="F56" s="34" t="s">
        <v>298</v>
      </c>
      <c r="H56" s="47">
        <v>16.38888820113101</v>
      </c>
      <c r="I56" s="159">
        <v>15.434879977647986</v>
      </c>
      <c r="J56" s="159">
        <v>14.080145611901758</v>
      </c>
      <c r="K56" s="159">
        <v>12.130441488407213</v>
      </c>
      <c r="L56" s="159">
        <v>7.038727599694715</v>
      </c>
      <c r="M56" s="159">
        <v>7.0014895615143713</v>
      </c>
      <c r="N56" s="159">
        <v>6.9107197279279813</v>
      </c>
      <c r="O56" s="159">
        <v>5.6886961251751371</v>
      </c>
      <c r="P56" s="159">
        <v>4.0541359008922484</v>
      </c>
      <c r="Q56" s="159">
        <v>3.6977011188436113</v>
      </c>
      <c r="R56" s="159">
        <v>4.2877653222039811</v>
      </c>
      <c r="S56" s="159">
        <v>4.0070108838749716</v>
      </c>
      <c r="T56" s="159">
        <v>3.248019726289872</v>
      </c>
      <c r="U56" s="380">
        <v>4.212154074740428</v>
      </c>
      <c r="V56" s="630">
        <v>4.2801304531231272</v>
      </c>
    </row>
    <row r="57" spans="1:22">
      <c r="C57" s="14" t="s">
        <v>305</v>
      </c>
      <c r="D57" s="37"/>
      <c r="E57" s="37" t="s">
        <v>232</v>
      </c>
      <c r="F57" s="34" t="s">
        <v>298</v>
      </c>
      <c r="H57" s="47">
        <v>26.372923542049907</v>
      </c>
      <c r="I57" s="159">
        <v>24.837737895065729</v>
      </c>
      <c r="J57" s="159">
        <v>22.657705582370646</v>
      </c>
      <c r="K57" s="159">
        <v>19.520250671000113</v>
      </c>
      <c r="L57" s="159">
        <v>11.326688091462762</v>
      </c>
      <c r="M57" s="159">
        <v>11.266764811632321</v>
      </c>
      <c r="N57" s="159">
        <v>11.120698412757676</v>
      </c>
      <c r="O57" s="159">
        <v>9.154223649707113</v>
      </c>
      <c r="P57" s="159">
        <v>6.5238968520105169</v>
      </c>
      <c r="Q57" s="159">
        <v>5.950323639518456</v>
      </c>
      <c r="R57" s="159">
        <v>6.8998522426270954</v>
      </c>
      <c r="S57" s="159">
        <v>6.4480634912930572</v>
      </c>
      <c r="T57" s="159">
        <v>5.2266984101216343</v>
      </c>
      <c r="U57" s="380">
        <v>6.7781789708466667</v>
      </c>
      <c r="V57" s="630">
        <v>6.887566246405032</v>
      </c>
    </row>
    <row r="58" spans="1:22">
      <c r="C58" s="14" t="s">
        <v>306</v>
      </c>
      <c r="D58" s="37"/>
      <c r="E58" s="37" t="s">
        <v>232</v>
      </c>
      <c r="F58" s="34" t="s">
        <v>295</v>
      </c>
      <c r="H58" s="47">
        <v>18.605601108240073</v>
      </c>
      <c r="I58" s="159">
        <v>22.063942074848857</v>
      </c>
      <c r="J58" s="159">
        <v>26.415295019257112</v>
      </c>
      <c r="K58" s="159">
        <v>17.290609793974525</v>
      </c>
      <c r="L58" s="159">
        <v>13.376044414993014</v>
      </c>
      <c r="M58" s="159">
        <v>11.640990716236104</v>
      </c>
      <c r="N58" s="159">
        <v>13.024451862729428</v>
      </c>
      <c r="O58" s="159">
        <v>13.604251272130391</v>
      </c>
      <c r="P58" s="159">
        <v>22.132248917647566</v>
      </c>
      <c r="Q58" s="159">
        <v>22.298990647906649</v>
      </c>
      <c r="R58" s="159">
        <v>47.175342488833309</v>
      </c>
      <c r="S58" s="159">
        <v>67.664189695927377</v>
      </c>
      <c r="T58" s="159">
        <v>28.276877645926874</v>
      </c>
      <c r="U58" s="380">
        <v>16.053559322588804</v>
      </c>
      <c r="V58" s="630">
        <v>16.312634086602184</v>
      </c>
    </row>
    <row r="59" spans="1:22">
      <c r="C59" s="14" t="s">
        <v>307</v>
      </c>
      <c r="D59" s="37"/>
      <c r="E59" s="37" t="s">
        <v>232</v>
      </c>
      <c r="F59" s="34" t="s">
        <v>295</v>
      </c>
      <c r="H59" s="47">
        <v>35.112462313783851</v>
      </c>
      <c r="I59" s="159">
        <v>37.344206348716547</v>
      </c>
      <c r="J59" s="159">
        <v>41.584049568435447</v>
      </c>
      <c r="K59" s="159">
        <v>60.365462263174223</v>
      </c>
      <c r="L59" s="159">
        <v>64.077860796412523</v>
      </c>
      <c r="M59" s="159">
        <v>65.824933706862481</v>
      </c>
      <c r="N59" s="159">
        <v>73.817811832684768</v>
      </c>
      <c r="O59" s="159">
        <v>87.377950262494409</v>
      </c>
      <c r="P59" s="159">
        <v>130.54383499633531</v>
      </c>
      <c r="Q59" s="159">
        <v>128.83292613585473</v>
      </c>
      <c r="R59" s="159">
        <v>203.24492993802505</v>
      </c>
      <c r="S59" s="159">
        <v>293.66343347802677</v>
      </c>
      <c r="T59" s="159">
        <v>287.04376657507345</v>
      </c>
      <c r="U59" s="380">
        <v>203.8018074776792</v>
      </c>
      <c r="V59" s="630">
        <v>207.09079181546946</v>
      </c>
    </row>
    <row r="60" spans="1:22">
      <c r="C60" s="14" t="s">
        <v>308</v>
      </c>
      <c r="D60" s="37"/>
      <c r="E60" s="37" t="s">
        <v>232</v>
      </c>
      <c r="F60" s="34" t="s">
        <v>295</v>
      </c>
      <c r="H60" s="47">
        <v>262.24444638885132</v>
      </c>
      <c r="I60" s="159">
        <v>253.08293972362529</v>
      </c>
      <c r="J60" s="159">
        <v>248.63974515445051</v>
      </c>
      <c r="K60" s="159">
        <v>280.89657314421771</v>
      </c>
      <c r="L60" s="159">
        <v>308.65462738448264</v>
      </c>
      <c r="M60" s="159">
        <v>330.09041856660144</v>
      </c>
      <c r="N60" s="159">
        <v>376.3196568989116</v>
      </c>
      <c r="O60" s="159">
        <v>423.04739141296227</v>
      </c>
      <c r="P60" s="159">
        <v>497.47892201842416</v>
      </c>
      <c r="Q60" s="159">
        <v>460.98390183792588</v>
      </c>
      <c r="R60" s="159">
        <v>583.2624056850168</v>
      </c>
      <c r="S60" s="159">
        <v>739.26016993608664</v>
      </c>
      <c r="T60" s="159">
        <v>790.95879485261037</v>
      </c>
      <c r="U60" s="380">
        <v>812.73516961819814</v>
      </c>
      <c r="V60" s="630">
        <v>825.85121248714222</v>
      </c>
    </row>
    <row r="61" spans="1:22">
      <c r="A61" s="1416" t="s">
        <v>309</v>
      </c>
      <c r="C61" s="38" t="s">
        <v>245</v>
      </c>
      <c r="D61" s="39"/>
      <c r="E61" s="40" t="s">
        <v>294</v>
      </c>
      <c r="F61" s="41"/>
      <c r="H61" s="48">
        <v>926.54927866973242</v>
      </c>
      <c r="I61" s="49">
        <v>938.9581967044046</v>
      </c>
      <c r="J61" s="49">
        <v>963.87134990398135</v>
      </c>
      <c r="K61" s="49">
        <v>1026.9408841494976</v>
      </c>
      <c r="L61" s="49">
        <v>1064.6691178674403</v>
      </c>
      <c r="M61" s="49">
        <v>1186.0003835908524</v>
      </c>
      <c r="N61" s="49">
        <v>1326.5453769849883</v>
      </c>
      <c r="O61" s="49">
        <v>1342.0421073462135</v>
      </c>
      <c r="P61" s="49">
        <v>1357.8491259294724</v>
      </c>
      <c r="Q61" s="49">
        <v>1301.6043685578281</v>
      </c>
      <c r="R61" s="49">
        <v>1716.0919348529892</v>
      </c>
      <c r="S61" s="49">
        <v>1958.202410443231</v>
      </c>
      <c r="T61" s="49">
        <v>1912.7988499142102</v>
      </c>
      <c r="U61" s="1315">
        <v>1907.0844258360373</v>
      </c>
      <c r="V61" s="1234">
        <v>1943.8107442344426</v>
      </c>
    </row>
    <row r="63" spans="1:22">
      <c r="H63" s="11" t="s">
        <v>280</v>
      </c>
      <c r="N63" s="80"/>
    </row>
    <row r="64" spans="1:22">
      <c r="B64" s="94"/>
      <c r="C64" s="15" t="s">
        <v>310</v>
      </c>
      <c r="H64" s="156">
        <v>2011</v>
      </c>
      <c r="I64" s="157">
        <v>2012</v>
      </c>
      <c r="J64" s="157">
        <v>2013</v>
      </c>
      <c r="K64" s="157">
        <v>2014</v>
      </c>
      <c r="L64" s="157">
        <v>2015</v>
      </c>
      <c r="M64" s="157">
        <v>2016</v>
      </c>
      <c r="N64" s="45">
        <v>2017</v>
      </c>
      <c r="O64" s="45">
        <v>2018</v>
      </c>
      <c r="P64" s="45">
        <v>2019</v>
      </c>
      <c r="Q64" s="45">
        <v>2020</v>
      </c>
      <c r="R64" s="45">
        <v>2021</v>
      </c>
      <c r="S64" s="45">
        <v>2022</v>
      </c>
      <c r="T64" s="45">
        <v>2023</v>
      </c>
      <c r="U64" s="45">
        <v>2024</v>
      </c>
      <c r="V64" s="46">
        <v>2025</v>
      </c>
    </row>
    <row r="65" spans="1:22">
      <c r="C65" s="18" t="s">
        <v>1179</v>
      </c>
      <c r="D65" s="19"/>
      <c r="E65" s="19"/>
      <c r="F65" s="24"/>
      <c r="H65" s="174">
        <f>H66+H67</f>
        <v>614.86295211216793</v>
      </c>
      <c r="I65" s="68">
        <f t="shared" ref="I65:V65" si="0">I66+I67</f>
        <v>622.46025291957289</v>
      </c>
      <c r="J65" s="68">
        <f t="shared" si="0"/>
        <v>634.90393035730153</v>
      </c>
      <c r="K65" s="68">
        <f t="shared" si="0"/>
        <v>682.22072678331062</v>
      </c>
      <c r="L65" s="68">
        <f t="shared" si="0"/>
        <v>701.78922247156379</v>
      </c>
      <c r="M65" s="68">
        <f t="shared" si="0"/>
        <v>761.21955201071535</v>
      </c>
      <c r="N65" s="68">
        <f t="shared" si="0"/>
        <v>842.12007941310867</v>
      </c>
      <c r="O65" s="68">
        <f t="shared" si="0"/>
        <v>936.52744455209506</v>
      </c>
      <c r="P65" s="68">
        <f t="shared" si="0"/>
        <v>1034.3510422777333</v>
      </c>
      <c r="Q65" s="68">
        <f t="shared" si="0"/>
        <v>994.0451743888666</v>
      </c>
      <c r="R65" s="68">
        <f t="shared" si="0"/>
        <v>1339.637734639985</v>
      </c>
      <c r="S65" s="68">
        <f t="shared" si="0"/>
        <v>1515.3480083617385</v>
      </c>
      <c r="T65" s="68">
        <f t="shared" si="0"/>
        <v>1441.7619569167321</v>
      </c>
      <c r="U65" s="68">
        <f t="shared" si="0"/>
        <v>1423.239347719013</v>
      </c>
      <c r="V65" s="1238">
        <f t="shared" si="0"/>
        <v>1446.2077991842298</v>
      </c>
    </row>
    <row r="66" spans="1:22">
      <c r="C66" s="14" t="s">
        <v>1178</v>
      </c>
      <c r="D66" s="37"/>
      <c r="E66" s="37" t="s">
        <v>294</v>
      </c>
      <c r="F66" s="34" t="s">
        <v>295</v>
      </c>
      <c r="H66" s="47">
        <f>H58+H59+H60</f>
        <v>315.96250981087525</v>
      </c>
      <c r="I66" s="159">
        <f t="shared" ref="I66:V66" si="1">I58+I59+I60</f>
        <v>312.49108814719068</v>
      </c>
      <c r="J66" s="159">
        <f t="shared" si="1"/>
        <v>316.63908974214309</v>
      </c>
      <c r="K66" s="159">
        <f t="shared" si="1"/>
        <v>358.55264520136643</v>
      </c>
      <c r="L66" s="159">
        <f t="shared" si="1"/>
        <v>386.10853259588816</v>
      </c>
      <c r="M66" s="159">
        <f t="shared" si="1"/>
        <v>407.55634298970006</v>
      </c>
      <c r="N66" s="159">
        <f t="shared" si="1"/>
        <v>463.16192059432581</v>
      </c>
      <c r="O66" s="159">
        <f t="shared" si="1"/>
        <v>524.02959294758705</v>
      </c>
      <c r="P66" s="159">
        <f t="shared" si="1"/>
        <v>650.15500593240699</v>
      </c>
      <c r="Q66" s="159">
        <f t="shared" si="1"/>
        <v>612.11581862168725</v>
      </c>
      <c r="R66" s="159">
        <f t="shared" si="1"/>
        <v>833.68267811187513</v>
      </c>
      <c r="S66" s="159">
        <f t="shared" si="1"/>
        <v>1100.5877931100408</v>
      </c>
      <c r="T66" s="159">
        <f t="shared" si="1"/>
        <v>1106.2794390736108</v>
      </c>
      <c r="U66" s="159">
        <f t="shared" si="1"/>
        <v>1032.5905364184662</v>
      </c>
      <c r="V66" s="50">
        <f t="shared" si="1"/>
        <v>1049.2546383892138</v>
      </c>
    </row>
    <row r="67" spans="1:22" ht="15.65" customHeight="1">
      <c r="A67" s="336" t="s">
        <v>311</v>
      </c>
      <c r="C67" s="14" t="s">
        <v>1177</v>
      </c>
      <c r="D67" s="37"/>
      <c r="E67" s="37" t="s">
        <v>232</v>
      </c>
      <c r="F67" s="34" t="s">
        <v>298</v>
      </c>
      <c r="H67" s="175">
        <v>298.90044230129268</v>
      </c>
      <c r="I67" s="1316">
        <v>309.96916477238227</v>
      </c>
      <c r="J67" s="1316">
        <v>318.26484061515839</v>
      </c>
      <c r="K67" s="1316">
        <v>323.66808158194419</v>
      </c>
      <c r="L67" s="1316">
        <v>315.68068987567557</v>
      </c>
      <c r="M67" s="1316">
        <v>353.66320902101529</v>
      </c>
      <c r="N67" s="1316">
        <v>378.95815881878286</v>
      </c>
      <c r="O67" s="1316">
        <v>412.49785160450801</v>
      </c>
      <c r="P67" s="1316">
        <v>384.19603634532638</v>
      </c>
      <c r="Q67" s="1316">
        <v>381.9293557671794</v>
      </c>
      <c r="R67" s="1316">
        <v>505.95505652810988</v>
      </c>
      <c r="S67" s="1316">
        <v>414.76021525169767</v>
      </c>
      <c r="T67" s="1316">
        <v>335.48251784312123</v>
      </c>
      <c r="U67" s="1316">
        <v>390.64881130054675</v>
      </c>
      <c r="V67" s="176">
        <v>396.953160795016</v>
      </c>
    </row>
    <row r="68" spans="1:22" ht="15.65" customHeight="1">
      <c r="A68" s="336"/>
      <c r="C68" s="290" t="s">
        <v>1202</v>
      </c>
      <c r="D68" s="37"/>
      <c r="E68" s="37"/>
      <c r="F68" s="34"/>
      <c r="H68" s="175">
        <f>H54+H56+H50+H52</f>
        <v>96.13431449627501</v>
      </c>
      <c r="I68" s="1316">
        <f t="shared" ref="I68:V68" si="2">I54+I56+I50+I52</f>
        <v>98.479091129527262</v>
      </c>
      <c r="J68" s="1316">
        <f t="shared" si="2"/>
        <v>99.711322891372134</v>
      </c>
      <c r="K68" s="1316">
        <f t="shared" si="2"/>
        <v>99.624238517014291</v>
      </c>
      <c r="L68" s="1316">
        <f t="shared" si="2"/>
        <v>93.07691726521044</v>
      </c>
      <c r="M68" s="1316">
        <f t="shared" si="2"/>
        <v>103.48879414396052</v>
      </c>
      <c r="N68" s="1316">
        <f t="shared" si="2"/>
        <v>110.35833643047916</v>
      </c>
      <c r="O68" s="1316">
        <f t="shared" si="2"/>
        <v>118.44827467885563</v>
      </c>
      <c r="P68" s="1316">
        <f t="shared" si="2"/>
        <v>109.15788864734526</v>
      </c>
      <c r="Q68" s="1316">
        <f t="shared" si="2"/>
        <v>108.19907516869378</v>
      </c>
      <c r="R68" s="1316">
        <f t="shared" si="2"/>
        <v>142.75316758523763</v>
      </c>
      <c r="S68" s="1316">
        <f t="shared" si="2"/>
        <v>117.49181419553258</v>
      </c>
      <c r="T68" s="1316">
        <f t="shared" si="2"/>
        <v>95.04086977806962</v>
      </c>
      <c r="U68" s="1316">
        <f t="shared" si="2"/>
        <v>111.07610408745279</v>
      </c>
      <c r="V68" s="176">
        <f t="shared" si="2"/>
        <v>112.86866702478785</v>
      </c>
    </row>
    <row r="69" spans="1:22" ht="15.65" customHeight="1">
      <c r="A69" s="336"/>
      <c r="C69" s="292" t="s">
        <v>1203</v>
      </c>
      <c r="D69" s="42"/>
      <c r="E69" s="42"/>
      <c r="F69" s="43"/>
      <c r="H69" s="175">
        <f>H51+H53+H55+H57</f>
        <v>202.76612780501762</v>
      </c>
      <c r="I69" s="1316">
        <f t="shared" ref="I69:V69" si="3">I51+I53+I55+I57</f>
        <v>211.49007364285495</v>
      </c>
      <c r="J69" s="1316">
        <f t="shared" si="3"/>
        <v>218.55351772378634</v>
      </c>
      <c r="K69" s="1316">
        <f t="shared" si="3"/>
        <v>224.04384306492989</v>
      </c>
      <c r="L69" s="1316">
        <f t="shared" si="3"/>
        <v>222.60377261046514</v>
      </c>
      <c r="M69" s="1316">
        <f t="shared" si="3"/>
        <v>250.17441487705483</v>
      </c>
      <c r="N69" s="1316">
        <f t="shared" si="3"/>
        <v>268.59982238830366</v>
      </c>
      <c r="O69" s="1316">
        <f t="shared" si="3"/>
        <v>294.04957692565239</v>
      </c>
      <c r="P69" s="1316">
        <f t="shared" si="3"/>
        <v>275.03814769798112</v>
      </c>
      <c r="Q69" s="1316">
        <f t="shared" si="3"/>
        <v>273.73028059848565</v>
      </c>
      <c r="R69" s="1316">
        <f t="shared" si="3"/>
        <v>363.20188894287224</v>
      </c>
      <c r="S69" s="1316">
        <f t="shared" si="3"/>
        <v>297.26840105616509</v>
      </c>
      <c r="T69" s="1316">
        <f t="shared" si="3"/>
        <v>240.4416480650516</v>
      </c>
      <c r="U69" s="1316">
        <f t="shared" si="3"/>
        <v>279.57270721309391</v>
      </c>
      <c r="V69" s="176">
        <f t="shared" si="3"/>
        <v>284.08449377022811</v>
      </c>
    </row>
    <row r="70" spans="1:22" ht="15.65" customHeight="1">
      <c r="C70" s="20" t="s">
        <v>312</v>
      </c>
      <c r="D70" s="42"/>
      <c r="E70" s="42" t="s">
        <v>313</v>
      </c>
      <c r="F70" s="43" t="s">
        <v>298</v>
      </c>
      <c r="H70" s="1017">
        <f t="shared" ref="H70:V70" si="4">H67/H65</f>
        <v>0.48612530853341285</v>
      </c>
      <c r="I70" s="1018">
        <f t="shared" si="4"/>
        <v>0.49797422938815805</v>
      </c>
      <c r="J70" s="1018">
        <f t="shared" si="4"/>
        <v>0.50128031249712091</v>
      </c>
      <c r="K70" s="1018">
        <f t="shared" si="4"/>
        <v>0.47443308136949758</v>
      </c>
      <c r="L70" s="1018">
        <f t="shared" si="4"/>
        <v>0.44982265296681273</v>
      </c>
      <c r="M70" s="1018">
        <f t="shared" si="4"/>
        <v>0.4646007949833072</v>
      </c>
      <c r="N70" s="1018">
        <f t="shared" si="4"/>
        <v>0.45000489607478167</v>
      </c>
      <c r="O70" s="1018">
        <f t="shared" si="4"/>
        <v>0.44045463270090268</v>
      </c>
      <c r="P70" s="1018">
        <f t="shared" si="4"/>
        <v>0.37143679528691964</v>
      </c>
      <c r="Q70" s="1018">
        <f t="shared" si="4"/>
        <v>0.38421730280214622</v>
      </c>
      <c r="R70" s="1018">
        <f t="shared" si="4"/>
        <v>0.37768050529278391</v>
      </c>
      <c r="S70" s="1018">
        <f t="shared" si="4"/>
        <v>0.27370624632958079</v>
      </c>
      <c r="T70" s="1018">
        <f t="shared" si="4"/>
        <v>0.23268925652648276</v>
      </c>
      <c r="U70" s="1018">
        <f t="shared" si="4"/>
        <v>0.27447864754907808</v>
      </c>
      <c r="V70" s="1019">
        <f t="shared" si="4"/>
        <v>0.27447864754907803</v>
      </c>
    </row>
    <row r="71" spans="1:22">
      <c r="C71" s="336"/>
      <c r="T71" s="315"/>
    </row>
    <row r="73" spans="1:22">
      <c r="A73" t="s">
        <v>314</v>
      </c>
      <c r="B73" s="94">
        <v>45298</v>
      </c>
      <c r="C73" s="15" t="s">
        <v>315</v>
      </c>
    </row>
    <row r="74" spans="1:22">
      <c r="C74" s="103"/>
      <c r="D74" s="104"/>
      <c r="E74" s="104" t="s">
        <v>281</v>
      </c>
      <c r="F74" s="106" t="s">
        <v>316</v>
      </c>
      <c r="T74" s="111">
        <v>2023</v>
      </c>
    </row>
    <row r="75" spans="1:22">
      <c r="C75" s="61" t="s">
        <v>293</v>
      </c>
      <c r="D75" s="85"/>
      <c r="E75" s="85" t="s">
        <v>317</v>
      </c>
      <c r="F75" s="107" t="s">
        <v>295</v>
      </c>
      <c r="T75" s="108">
        <v>58.42987067398105</v>
      </c>
    </row>
    <row r="76" spans="1:22">
      <c r="C76" s="60" t="s">
        <v>296</v>
      </c>
      <c r="D76" s="37"/>
      <c r="E76" s="37" t="s">
        <v>318</v>
      </c>
      <c r="F76" s="34" t="s">
        <v>295</v>
      </c>
      <c r="T76" s="109">
        <v>1094.5765025893281</v>
      </c>
    </row>
    <row r="77" spans="1:22">
      <c r="C77" s="60" t="s">
        <v>297</v>
      </c>
      <c r="D77" s="37"/>
      <c r="E77" s="37" t="s">
        <v>232</v>
      </c>
      <c r="F77" s="34" t="s">
        <v>298</v>
      </c>
      <c r="T77" s="112">
        <v>139547.28513852227</v>
      </c>
    </row>
    <row r="78" spans="1:22">
      <c r="C78" s="60" t="s">
        <v>299</v>
      </c>
      <c r="D78" s="37"/>
      <c r="E78" s="37" t="s">
        <v>232</v>
      </c>
      <c r="F78" s="34" t="s">
        <v>295</v>
      </c>
      <c r="T78" s="109">
        <v>114059.38656413012</v>
      </c>
    </row>
    <row r="79" spans="1:22">
      <c r="C79" s="60" t="s">
        <v>300</v>
      </c>
      <c r="D79" s="37"/>
      <c r="E79" s="37" t="s">
        <v>232</v>
      </c>
      <c r="F79" s="34" t="s">
        <v>298</v>
      </c>
      <c r="T79" s="112">
        <v>142804.04085339603</v>
      </c>
    </row>
    <row r="80" spans="1:22">
      <c r="C80" s="60" t="s">
        <v>301</v>
      </c>
      <c r="D80" s="37"/>
      <c r="E80" s="37" t="s">
        <v>232</v>
      </c>
      <c r="F80" s="34" t="s">
        <v>298</v>
      </c>
      <c r="T80" s="112">
        <v>117476.71149571975</v>
      </c>
    </row>
    <row r="81" spans="1:20">
      <c r="C81" s="60" t="s">
        <v>302</v>
      </c>
      <c r="D81" s="37"/>
      <c r="E81" s="37" t="s">
        <v>232</v>
      </c>
      <c r="F81" s="34" t="s">
        <v>298</v>
      </c>
      <c r="T81" s="112">
        <v>20868.434093644508</v>
      </c>
    </row>
    <row r="82" spans="1:20">
      <c r="C82" s="60" t="s">
        <v>303</v>
      </c>
      <c r="D82" s="37"/>
      <c r="E82" s="37" t="s">
        <v>232</v>
      </c>
      <c r="F82" s="34" t="s">
        <v>295</v>
      </c>
      <c r="T82" s="109">
        <v>20868.434093644504</v>
      </c>
    </row>
    <row r="83" spans="1:20">
      <c r="C83" s="60" t="s">
        <v>304</v>
      </c>
      <c r="D83" s="37"/>
      <c r="E83" s="37" t="s">
        <v>232</v>
      </c>
      <c r="F83" s="34" t="s">
        <v>298</v>
      </c>
      <c r="T83" s="112">
        <v>20868.434093644501</v>
      </c>
    </row>
    <row r="84" spans="1:20">
      <c r="C84" s="60" t="s">
        <v>305</v>
      </c>
      <c r="D84" s="37"/>
      <c r="E84" s="37" t="s">
        <v>232</v>
      </c>
      <c r="F84" s="34" t="s">
        <v>298</v>
      </c>
      <c r="T84" s="112">
        <v>20868.434093644511</v>
      </c>
    </row>
    <row r="85" spans="1:20">
      <c r="C85" s="60" t="s">
        <v>306</v>
      </c>
      <c r="D85" s="37"/>
      <c r="E85" s="37" t="s">
        <v>232</v>
      </c>
      <c r="F85" s="34" t="s">
        <v>295</v>
      </c>
      <c r="T85" s="109">
        <v>126987.71070513056</v>
      </c>
    </row>
    <row r="86" spans="1:20">
      <c r="C86" s="60" t="s">
        <v>307</v>
      </c>
      <c r="D86" s="37"/>
      <c r="E86" s="37" t="s">
        <v>232</v>
      </c>
      <c r="F86" s="34" t="s">
        <v>295</v>
      </c>
      <c r="T86" s="109">
        <v>81872.214541847003</v>
      </c>
    </row>
    <row r="87" spans="1:20">
      <c r="C87" s="105" t="s">
        <v>308</v>
      </c>
      <c r="D87" s="42"/>
      <c r="E87" s="42" t="s">
        <v>232</v>
      </c>
      <c r="F87" s="43" t="s">
        <v>295</v>
      </c>
      <c r="T87" s="110">
        <v>77011.584366162657</v>
      </c>
    </row>
    <row r="89" spans="1:20" s="8" customFormat="1" ht="22.5" customHeight="1">
      <c r="C89" s="9" t="s">
        <v>1273</v>
      </c>
      <c r="P89" s="10"/>
    </row>
    <row r="90" spans="1:20" ht="13.5" customHeight="1">
      <c r="K90" s="362"/>
    </row>
    <row r="91" spans="1:20" ht="13.5" customHeight="1">
      <c r="C91" s="1307" t="s">
        <v>1212</v>
      </c>
      <c r="D91" s="1022"/>
      <c r="E91" s="1023"/>
      <c r="F91" s="1023"/>
      <c r="G91" s="1024"/>
      <c r="H91" s="1024"/>
      <c r="I91" s="1024"/>
      <c r="J91" s="1022"/>
      <c r="K91" s="1020"/>
    </row>
    <row r="92" spans="1:20" ht="13.5" customHeight="1">
      <c r="C92" s="1021"/>
      <c r="D92" s="1022"/>
      <c r="E92" s="1023"/>
      <c r="F92" s="1023"/>
      <c r="G92" s="1024"/>
      <c r="H92" s="1024"/>
      <c r="I92" s="1024"/>
      <c r="J92" s="1022"/>
      <c r="K92" s="1020"/>
    </row>
    <row r="93" spans="1:20" ht="13.5" customHeight="1">
      <c r="C93" s="1021"/>
      <c r="D93" s="1022"/>
      <c r="E93" s="1023"/>
      <c r="F93" s="1023"/>
      <c r="G93" s="1024"/>
      <c r="H93" s="1024"/>
      <c r="I93" s="1024"/>
      <c r="J93" s="1022"/>
      <c r="K93" s="1020"/>
    </row>
    <row r="94" spans="1:20" ht="13.5" customHeight="1">
      <c r="A94" t="s">
        <v>1215</v>
      </c>
      <c r="C94" s="1045" t="s">
        <v>1186</v>
      </c>
      <c r="D94" s="1022"/>
      <c r="E94" s="1023"/>
      <c r="F94" s="1023"/>
      <c r="G94" s="1024"/>
      <c r="H94" s="1024"/>
      <c r="I94" s="1024"/>
      <c r="J94" s="1022"/>
      <c r="K94" s="1020"/>
    </row>
    <row r="95" spans="1:20" ht="13.5" customHeight="1">
      <c r="A95" s="120" t="s">
        <v>1248</v>
      </c>
      <c r="C95" s="1045" t="s">
        <v>1187</v>
      </c>
      <c r="D95" s="1022"/>
      <c r="E95" s="1023"/>
      <c r="F95" s="1023"/>
      <c r="G95" s="1024"/>
      <c r="H95" s="1024"/>
      <c r="I95" s="1024"/>
      <c r="J95" s="1022"/>
      <c r="K95" s="1020"/>
    </row>
    <row r="96" spans="1:20" ht="13.5" customHeight="1">
      <c r="C96" s="1045" t="s">
        <v>1189</v>
      </c>
      <c r="D96" s="1022"/>
      <c r="E96" s="1023"/>
      <c r="F96" s="1023"/>
      <c r="G96" s="1024"/>
      <c r="H96" s="1024"/>
      <c r="I96" s="1024"/>
      <c r="J96" s="1022"/>
      <c r="K96" s="1020"/>
    </row>
    <row r="97" spans="1:49" ht="13.5" customHeight="1">
      <c r="C97" s="1045" t="s">
        <v>1190</v>
      </c>
      <c r="D97" s="1022"/>
      <c r="E97" s="1023"/>
      <c r="F97" s="1023"/>
      <c r="G97" s="1024"/>
      <c r="H97" s="1024"/>
      <c r="I97" s="1024"/>
      <c r="J97" s="1022"/>
      <c r="K97" s="1020"/>
    </row>
    <row r="98" spans="1:49" ht="13.5" customHeight="1">
      <c r="C98" s="1021"/>
      <c r="D98" s="1022"/>
      <c r="E98" s="1023"/>
      <c r="F98" s="1023"/>
      <c r="G98" s="1024"/>
      <c r="H98" s="1024"/>
      <c r="I98" s="1024"/>
      <c r="J98" s="1022"/>
      <c r="K98" s="1020"/>
    </row>
    <row r="99" spans="1:49" ht="13.5" customHeight="1">
      <c r="C99" s="1239" t="s">
        <v>1247</v>
      </c>
      <c r="D99" s="1022"/>
      <c r="E99" s="1023"/>
      <c r="F99" s="1023"/>
      <c r="G99" s="1024"/>
      <c r="H99" s="1024"/>
      <c r="I99" s="1024"/>
      <c r="J99" s="1022"/>
      <c r="K99" s="1020"/>
    </row>
    <row r="100" spans="1:49" ht="13.5" customHeight="1">
      <c r="C100" s="1021"/>
      <c r="D100" s="1022"/>
      <c r="E100" s="1023"/>
      <c r="F100" s="1023"/>
      <c r="G100" s="1024"/>
      <c r="H100" s="1024"/>
      <c r="I100" s="1024"/>
      <c r="J100" s="1022"/>
      <c r="K100" s="1020"/>
    </row>
    <row r="101" spans="1:49" ht="13.5" customHeight="1">
      <c r="H101" s="11" t="s">
        <v>280</v>
      </c>
      <c r="N101" s="80"/>
      <c r="X101" s="1044" t="s">
        <v>844</v>
      </c>
    </row>
    <row r="102" spans="1:49" ht="13.5" customHeight="1">
      <c r="C102" s="15" t="s">
        <v>310</v>
      </c>
      <c r="H102" s="156">
        <v>2011</v>
      </c>
      <c r="I102" s="157">
        <v>2012</v>
      </c>
      <c r="J102" s="157">
        <v>2013</v>
      </c>
      <c r="K102" s="157">
        <v>2014</v>
      </c>
      <c r="L102" s="157">
        <v>2015</v>
      </c>
      <c r="M102" s="157">
        <v>2016</v>
      </c>
      <c r="N102" s="45">
        <v>2017</v>
      </c>
      <c r="O102" s="45">
        <v>2018</v>
      </c>
      <c r="P102" s="45">
        <v>2019</v>
      </c>
      <c r="Q102" s="45">
        <v>2020</v>
      </c>
      <c r="R102" s="45">
        <v>2021</v>
      </c>
      <c r="S102" s="45">
        <v>2022</v>
      </c>
      <c r="T102" s="45">
        <v>2023</v>
      </c>
      <c r="U102" s="46">
        <v>2024</v>
      </c>
      <c r="W102" s="44">
        <v>2024</v>
      </c>
      <c r="X102" s="45">
        <v>2025</v>
      </c>
      <c r="Y102" s="45">
        <v>2026</v>
      </c>
      <c r="Z102" s="45">
        <v>2027</v>
      </c>
      <c r="AA102" s="45">
        <v>2028</v>
      </c>
      <c r="AB102" s="45">
        <v>2029</v>
      </c>
      <c r="AC102" s="45">
        <v>2030</v>
      </c>
      <c r="AD102" s="45">
        <v>2031</v>
      </c>
      <c r="AE102" s="45">
        <v>2032</v>
      </c>
      <c r="AF102" s="45">
        <v>2033</v>
      </c>
      <c r="AG102" s="45">
        <v>2034</v>
      </c>
      <c r="AH102" s="45">
        <v>2035</v>
      </c>
      <c r="AI102" s="45">
        <v>2036</v>
      </c>
      <c r="AJ102" s="45">
        <v>2037</v>
      </c>
      <c r="AK102" s="45">
        <v>2038</v>
      </c>
      <c r="AL102" s="45">
        <v>2039</v>
      </c>
      <c r="AM102" s="45">
        <v>2040</v>
      </c>
      <c r="AN102" s="45">
        <v>2041</v>
      </c>
      <c r="AO102" s="45">
        <v>2042</v>
      </c>
      <c r="AP102" s="45">
        <v>2043</v>
      </c>
      <c r="AQ102" s="45">
        <v>2044</v>
      </c>
      <c r="AR102" s="45">
        <v>2045</v>
      </c>
      <c r="AS102" s="45">
        <v>2046</v>
      </c>
      <c r="AT102" s="45">
        <v>2047</v>
      </c>
      <c r="AU102" s="45">
        <v>2048</v>
      </c>
      <c r="AV102" s="45">
        <v>2049</v>
      </c>
      <c r="AW102" s="46">
        <v>2050</v>
      </c>
    </row>
    <row r="103" spans="1:49" ht="13.5" customHeight="1">
      <c r="C103" s="36" t="s">
        <v>286</v>
      </c>
      <c r="D103" s="19"/>
      <c r="E103" s="19"/>
      <c r="F103" s="24"/>
      <c r="H103" s="44"/>
      <c r="I103" s="45"/>
      <c r="J103" s="45"/>
      <c r="K103" s="45"/>
      <c r="L103" s="45"/>
      <c r="M103" s="45"/>
      <c r="N103" s="45"/>
      <c r="O103" s="45"/>
      <c r="P103" s="45"/>
      <c r="Q103" s="45"/>
      <c r="R103" s="45"/>
      <c r="S103" s="45"/>
      <c r="T103" s="45"/>
      <c r="U103" s="29"/>
      <c r="W103" s="69"/>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29"/>
    </row>
    <row r="104" spans="1:49" ht="13.5" customHeight="1">
      <c r="C104" s="14" t="s">
        <v>1204</v>
      </c>
      <c r="D104" s="37"/>
      <c r="E104" s="37" t="s">
        <v>294</v>
      </c>
      <c r="F104" s="34" t="s">
        <v>298</v>
      </c>
      <c r="H104" s="47">
        <f t="shared" ref="H104:U104" si="5">H68</f>
        <v>96.13431449627501</v>
      </c>
      <c r="I104" s="159">
        <f t="shared" si="5"/>
        <v>98.479091129527262</v>
      </c>
      <c r="J104" s="159">
        <f t="shared" si="5"/>
        <v>99.711322891372134</v>
      </c>
      <c r="K104" s="159">
        <f t="shared" si="5"/>
        <v>99.624238517014291</v>
      </c>
      <c r="L104" s="159">
        <f t="shared" si="5"/>
        <v>93.07691726521044</v>
      </c>
      <c r="M104" s="159">
        <f t="shared" si="5"/>
        <v>103.48879414396052</v>
      </c>
      <c r="N104" s="159">
        <f t="shared" si="5"/>
        <v>110.35833643047916</v>
      </c>
      <c r="O104" s="159">
        <f t="shared" si="5"/>
        <v>118.44827467885563</v>
      </c>
      <c r="P104" s="159">
        <f t="shared" si="5"/>
        <v>109.15788864734526</v>
      </c>
      <c r="Q104" s="159">
        <f t="shared" si="5"/>
        <v>108.19907516869378</v>
      </c>
      <c r="R104" s="159">
        <f t="shared" si="5"/>
        <v>142.75316758523763</v>
      </c>
      <c r="S104" s="159">
        <f t="shared" si="5"/>
        <v>117.49181419553258</v>
      </c>
      <c r="T104" s="159">
        <f t="shared" si="5"/>
        <v>95.04086977806962</v>
      </c>
      <c r="U104" s="50">
        <f t="shared" si="5"/>
        <v>111.07610408745279</v>
      </c>
      <c r="W104" s="71">
        <v>111</v>
      </c>
      <c r="X104">
        <f>W$104+($X102-$W102)*(($AC104-$W104)/($AC102-$W102))</f>
        <v>95.276902602186325</v>
      </c>
      <c r="Y104">
        <f>X$104+($X102-$W102)*(($AC104-$W104)/($AC102-$W102))</f>
        <v>79.553805204372651</v>
      </c>
      <c r="Z104">
        <f>Y$104+($X102-$W102)*(($AC104-$W104)/($AC102-$W102))</f>
        <v>63.830707806558969</v>
      </c>
      <c r="AA104">
        <f>Z$104+($X102-$W102)*(($AC104-$W104)/($AC102-$W102))</f>
        <v>48.107610408745288</v>
      </c>
      <c r="AB104">
        <f>AA$104+($X102-$W102)*(($AC104-$W104)/($AC102-$W102))</f>
        <v>32.384513010931606</v>
      </c>
      <c r="AC104">
        <f>U104-0.85*U104</f>
        <v>16.661415613117924</v>
      </c>
      <c r="AD104">
        <f>AC$104+($AD102-$AC102)*(($AW104-$AC104)/($AW102-$AC102))</f>
        <v>15.939420936549482</v>
      </c>
      <c r="AE104">
        <f t="shared" ref="AE104:AV104" si="6">AD$104+($AD102-$AC102)*(($AW104-$AC104)/($AW102-$AC102))</f>
        <v>15.217426259981039</v>
      </c>
      <c r="AF104">
        <f t="shared" si="6"/>
        <v>14.495431583412596</v>
      </c>
      <c r="AG104">
        <f t="shared" si="6"/>
        <v>13.773436906844154</v>
      </c>
      <c r="AH104">
        <f t="shared" si="6"/>
        <v>13.051442230275711</v>
      </c>
      <c r="AI104">
        <f t="shared" si="6"/>
        <v>12.329447553707269</v>
      </c>
      <c r="AJ104">
        <f t="shared" si="6"/>
        <v>11.607452877138826</v>
      </c>
      <c r="AK104">
        <f t="shared" si="6"/>
        <v>10.885458200570383</v>
      </c>
      <c r="AL104">
        <f t="shared" si="6"/>
        <v>10.163463524001941</v>
      </c>
      <c r="AM104">
        <f t="shared" si="6"/>
        <v>9.441468847433498</v>
      </c>
      <c r="AN104">
        <f t="shared" si="6"/>
        <v>8.7194741708650554</v>
      </c>
      <c r="AO104">
        <f t="shared" si="6"/>
        <v>7.9974794942966119</v>
      </c>
      <c r="AP104">
        <f t="shared" si="6"/>
        <v>7.2754848177281684</v>
      </c>
      <c r="AQ104">
        <f t="shared" si="6"/>
        <v>6.5534901411597248</v>
      </c>
      <c r="AR104">
        <f t="shared" si="6"/>
        <v>5.8314954645912813</v>
      </c>
      <c r="AS104">
        <f t="shared" si="6"/>
        <v>5.1095007880228378</v>
      </c>
      <c r="AT104">
        <f t="shared" si="6"/>
        <v>4.3875061114543943</v>
      </c>
      <c r="AU104">
        <f t="shared" si="6"/>
        <v>3.6655114348859508</v>
      </c>
      <c r="AV104">
        <f t="shared" si="6"/>
        <v>2.9435167583175073</v>
      </c>
      <c r="AW104" s="31">
        <f>U104-0.98*U104</f>
        <v>2.2215220817490575</v>
      </c>
    </row>
    <row r="105" spans="1:49" ht="13.5" customHeight="1">
      <c r="C105" s="20" t="s">
        <v>1205</v>
      </c>
      <c r="D105" s="42"/>
      <c r="E105" s="42" t="s">
        <v>232</v>
      </c>
      <c r="F105" s="43" t="s">
        <v>298</v>
      </c>
      <c r="H105" s="1235">
        <f t="shared" ref="H105:U105" si="7">H69</f>
        <v>202.76612780501762</v>
      </c>
      <c r="I105" s="1236">
        <f t="shared" si="7"/>
        <v>211.49007364285495</v>
      </c>
      <c r="J105" s="1236">
        <f t="shared" si="7"/>
        <v>218.55351772378634</v>
      </c>
      <c r="K105" s="1236">
        <f t="shared" si="7"/>
        <v>224.04384306492989</v>
      </c>
      <c r="L105" s="1236">
        <f t="shared" si="7"/>
        <v>222.60377261046514</v>
      </c>
      <c r="M105" s="1236">
        <f t="shared" si="7"/>
        <v>250.17441487705483</v>
      </c>
      <c r="N105" s="1236">
        <f t="shared" si="7"/>
        <v>268.59982238830366</v>
      </c>
      <c r="O105" s="1236">
        <f t="shared" si="7"/>
        <v>294.04957692565239</v>
      </c>
      <c r="P105" s="1236">
        <f t="shared" si="7"/>
        <v>275.03814769798112</v>
      </c>
      <c r="Q105" s="1236">
        <f t="shared" si="7"/>
        <v>273.73028059848565</v>
      </c>
      <c r="R105" s="1236">
        <f t="shared" si="7"/>
        <v>363.20188894287224</v>
      </c>
      <c r="S105" s="1236">
        <f t="shared" si="7"/>
        <v>297.26840105616509</v>
      </c>
      <c r="T105" s="1236">
        <f t="shared" si="7"/>
        <v>240.4416480650516</v>
      </c>
      <c r="U105" s="1237">
        <f t="shared" si="7"/>
        <v>279.57270721309391</v>
      </c>
      <c r="W105" s="91">
        <v>280</v>
      </c>
      <c r="X105" s="92">
        <f>W$105+($X102-$W102)*(($AC105-$W105)/($AC102-$W102))</f>
        <v>272.00755783114465</v>
      </c>
      <c r="Y105" s="92">
        <f>X$105+($X102-$W102)*(($AC105-$W105)/($AC102-$W102))</f>
        <v>264.0151156622893</v>
      </c>
      <c r="Z105" s="92">
        <f>Y$105+($X102-$W102)*(($AC105-$W105)/($AC102-$W102))</f>
        <v>256.02267349343396</v>
      </c>
      <c r="AA105" s="92">
        <f>Z$105+($X102-$W102)*(($AC105-$W105)/($AC102-$W102))</f>
        <v>248.03023132457861</v>
      </c>
      <c r="AB105" s="92">
        <f>AA$105+($X102-$W102)*(($AC105-$W105)/($AC102-$W102))</f>
        <v>240.03778915572326</v>
      </c>
      <c r="AC105" s="92">
        <f>U105-0.17*U105</f>
        <v>232.04534698686794</v>
      </c>
      <c r="AD105" s="92">
        <f>AC$105+($AD102-$AC102)*(($AW105-$AC105)/($AW102-$AC102))</f>
        <v>222.53987494162274</v>
      </c>
      <c r="AE105" s="92">
        <f t="shared" ref="AE105:AV105" si="8">AD$105+($AD102-$AC102)*(($AW105-$AC105)/($AW102-$AC102))</f>
        <v>213.03440289637754</v>
      </c>
      <c r="AF105" s="92">
        <f t="shared" si="8"/>
        <v>203.52893085113234</v>
      </c>
      <c r="AG105" s="92">
        <f t="shared" si="8"/>
        <v>194.02345880588715</v>
      </c>
      <c r="AH105" s="92">
        <f t="shared" si="8"/>
        <v>184.51798676064195</v>
      </c>
      <c r="AI105" s="92">
        <f t="shared" si="8"/>
        <v>175.01251471539675</v>
      </c>
      <c r="AJ105" s="92">
        <f t="shared" si="8"/>
        <v>165.50704267015155</v>
      </c>
      <c r="AK105" s="92">
        <f t="shared" si="8"/>
        <v>156.00157062490635</v>
      </c>
      <c r="AL105" s="92">
        <f t="shared" si="8"/>
        <v>146.49609857966115</v>
      </c>
      <c r="AM105" s="92">
        <f t="shared" si="8"/>
        <v>136.99062653441595</v>
      </c>
      <c r="AN105" s="92">
        <f t="shared" si="8"/>
        <v>127.48515448917075</v>
      </c>
      <c r="AO105" s="92">
        <f t="shared" si="8"/>
        <v>117.97968244392555</v>
      </c>
      <c r="AP105" s="92">
        <f t="shared" si="8"/>
        <v>108.47421039868036</v>
      </c>
      <c r="AQ105" s="92">
        <f t="shared" si="8"/>
        <v>98.968738353435157</v>
      </c>
      <c r="AR105" s="92">
        <f t="shared" si="8"/>
        <v>89.463266308189958</v>
      </c>
      <c r="AS105" s="92">
        <f t="shared" si="8"/>
        <v>79.957794262944759</v>
      </c>
      <c r="AT105" s="92">
        <f t="shared" si="8"/>
        <v>70.45232221769956</v>
      </c>
      <c r="AU105" s="92">
        <f t="shared" si="8"/>
        <v>60.946850172454369</v>
      </c>
      <c r="AV105" s="92">
        <f t="shared" si="8"/>
        <v>51.441378127209177</v>
      </c>
      <c r="AW105" s="33">
        <f>U105-0.85*U105</f>
        <v>41.935906081964106</v>
      </c>
    </row>
    <row r="106" spans="1:49" ht="13.5" customHeight="1">
      <c r="A106" s="15" t="s">
        <v>1216</v>
      </c>
      <c r="C106" s="1308" t="s">
        <v>1213</v>
      </c>
      <c r="D106" s="1309"/>
      <c r="E106" s="1310"/>
      <c r="F106" s="1311"/>
      <c r="G106" s="1024"/>
      <c r="H106" s="1312"/>
      <c r="I106" s="1313"/>
      <c r="J106" s="1309"/>
      <c r="K106" s="1314"/>
      <c r="L106" s="63"/>
      <c r="M106" s="63"/>
      <c r="N106" s="63"/>
      <c r="O106" s="63"/>
      <c r="P106" s="63"/>
      <c r="Q106" s="63"/>
      <c r="R106" s="63"/>
      <c r="S106" s="63"/>
      <c r="T106" s="63"/>
      <c r="U106" s="64"/>
      <c r="W106" s="65"/>
      <c r="X106" s="63">
        <f>SUM(X104:X105)</f>
        <v>367.28446043333099</v>
      </c>
      <c r="Y106" s="63">
        <f t="shared" ref="Y106:AW106" si="9">SUM(Y104:Y105)</f>
        <v>343.56892086666198</v>
      </c>
      <c r="Z106" s="63">
        <f t="shared" si="9"/>
        <v>319.85338129999292</v>
      </c>
      <c r="AA106" s="63">
        <f t="shared" si="9"/>
        <v>296.13784173332391</v>
      </c>
      <c r="AB106" s="63">
        <f t="shared" si="9"/>
        <v>272.42230216665484</v>
      </c>
      <c r="AC106" s="63">
        <f t="shared" si="9"/>
        <v>248.70676259998586</v>
      </c>
      <c r="AD106" s="63">
        <f t="shared" si="9"/>
        <v>238.47929587817222</v>
      </c>
      <c r="AE106" s="63">
        <f t="shared" si="9"/>
        <v>228.25182915635858</v>
      </c>
      <c r="AF106" s="63">
        <f t="shared" si="9"/>
        <v>218.02436243454494</v>
      </c>
      <c r="AG106" s="63">
        <f t="shared" si="9"/>
        <v>207.7968957127313</v>
      </c>
      <c r="AH106" s="63">
        <f t="shared" si="9"/>
        <v>197.56942899091766</v>
      </c>
      <c r="AI106" s="63">
        <f t="shared" si="9"/>
        <v>187.34196226910402</v>
      </c>
      <c r="AJ106" s="63">
        <f t="shared" si="9"/>
        <v>177.11449554729037</v>
      </c>
      <c r="AK106" s="63">
        <f t="shared" si="9"/>
        <v>166.88702882547673</v>
      </c>
      <c r="AL106" s="63">
        <f t="shared" si="9"/>
        <v>156.65956210366309</v>
      </c>
      <c r="AM106" s="63">
        <f t="shared" si="9"/>
        <v>146.43209538184945</v>
      </c>
      <c r="AN106" s="63">
        <f t="shared" si="9"/>
        <v>136.20462866003581</v>
      </c>
      <c r="AO106" s="63">
        <f t="shared" si="9"/>
        <v>125.97716193822217</v>
      </c>
      <c r="AP106" s="63">
        <f t="shared" si="9"/>
        <v>115.74969521640853</v>
      </c>
      <c r="AQ106" s="63">
        <f t="shared" si="9"/>
        <v>105.52222849459488</v>
      </c>
      <c r="AR106" s="63">
        <f t="shared" si="9"/>
        <v>95.294761772781243</v>
      </c>
      <c r="AS106" s="63">
        <f t="shared" si="9"/>
        <v>85.067295050967601</v>
      </c>
      <c r="AT106" s="63">
        <f t="shared" si="9"/>
        <v>74.83982832915396</v>
      </c>
      <c r="AU106" s="63">
        <f t="shared" si="9"/>
        <v>64.612361607340318</v>
      </c>
      <c r="AV106" s="63">
        <f t="shared" si="9"/>
        <v>54.384894885526684</v>
      </c>
      <c r="AW106" s="64">
        <f t="shared" si="9"/>
        <v>44.157428163713163</v>
      </c>
    </row>
    <row r="107" spans="1:49" ht="13.5" customHeight="1">
      <c r="C107" s="1021"/>
      <c r="D107" s="1022"/>
      <c r="E107" s="1023"/>
      <c r="F107" s="1023"/>
      <c r="G107" s="1024"/>
      <c r="H107" s="1024"/>
      <c r="I107" s="1024"/>
      <c r="J107" s="1022"/>
      <c r="K107" s="1020"/>
    </row>
    <row r="108" spans="1:49" ht="13.5" customHeight="1">
      <c r="C108" s="1021"/>
      <c r="D108" s="1022"/>
      <c r="E108" s="1023"/>
      <c r="F108" s="1023"/>
      <c r="G108" s="1024"/>
      <c r="H108" s="1024"/>
      <c r="I108" s="1024"/>
      <c r="J108" s="1022"/>
      <c r="K108" s="1020"/>
    </row>
    <row r="109" spans="1:49" ht="13.5" customHeight="1">
      <c r="C109" s="1021"/>
      <c r="D109" s="1022"/>
      <c r="E109" s="1023"/>
      <c r="F109" s="1023"/>
      <c r="G109" s="1024"/>
      <c r="H109" s="1024"/>
      <c r="I109" s="1024"/>
      <c r="J109" s="1022"/>
      <c r="K109" s="1020"/>
    </row>
  </sheetData>
  <hyperlinks>
    <hyperlink ref="A95" r:id="rId1" display="https://www.ecologie.gouv.fr/politiques-publiques/3e-strategie-nationale-bas-carbone-snbc-3" xr:uid="{3A5FBB8A-31C0-4BD8-B3AA-239D356D1448}"/>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74174-0279-4F85-85C7-21AEF59D8FCE}">
  <dimension ref="A1:X536"/>
  <sheetViews>
    <sheetView zoomScale="45" zoomScaleNormal="40" workbookViewId="0"/>
  </sheetViews>
  <sheetFormatPr baseColWidth="10" defaultColWidth="11.453125" defaultRowHeight="14.5"/>
  <cols>
    <col min="3" max="3" width="15.90625" bestFit="1" customWidth="1"/>
    <col min="4" max="4" width="19.90625" bestFit="1" customWidth="1"/>
    <col min="5" max="5" width="21.08984375" customWidth="1"/>
    <col min="6" max="6" width="21.26953125" customWidth="1"/>
    <col min="8" max="8" width="13.81640625" customWidth="1"/>
    <col min="9" max="16" width="17" bestFit="1" customWidth="1"/>
    <col min="17" max="17" width="17.1796875" bestFit="1" customWidth="1"/>
    <col min="18" max="18" width="21.81640625" bestFit="1" customWidth="1"/>
    <col min="19" max="20" width="17.1796875" bestFit="1" customWidth="1"/>
    <col min="21" max="21" width="18.54296875" bestFit="1" customWidth="1"/>
    <col min="22" max="22" width="17" bestFit="1" customWidth="1"/>
  </cols>
  <sheetData>
    <row r="1" spans="1:22" ht="21">
      <c r="A1" s="95" t="s">
        <v>264</v>
      </c>
      <c r="B1" s="95" t="s">
        <v>265</v>
      </c>
      <c r="C1" s="1" t="s">
        <v>331</v>
      </c>
      <c r="I1" s="150">
        <v>2011</v>
      </c>
      <c r="J1" s="151">
        <v>2012</v>
      </c>
      <c r="K1" s="151">
        <v>2013</v>
      </c>
      <c r="L1" s="151">
        <v>2014</v>
      </c>
      <c r="M1" s="151">
        <v>2015</v>
      </c>
      <c r="N1" s="151">
        <v>2016</v>
      </c>
      <c r="O1" s="151">
        <v>2017</v>
      </c>
      <c r="P1" s="151">
        <v>2018</v>
      </c>
      <c r="Q1" s="151">
        <v>2019</v>
      </c>
      <c r="R1" s="151">
        <v>2020</v>
      </c>
      <c r="S1" s="151">
        <v>2021</v>
      </c>
      <c r="T1" s="151">
        <v>2022</v>
      </c>
      <c r="U1" s="469">
        <v>2023</v>
      </c>
      <c r="V1" s="469">
        <v>2024</v>
      </c>
    </row>
    <row r="2" spans="1:22">
      <c r="O2" s="6"/>
      <c r="P2" s="6"/>
      <c r="Q2" s="6"/>
      <c r="R2" s="6"/>
      <c r="S2" s="6"/>
      <c r="T2" s="6"/>
      <c r="U2" s="6"/>
      <c r="V2" s="6"/>
    </row>
    <row r="3" spans="1:22">
      <c r="C3" s="7" t="s">
        <v>267</v>
      </c>
    </row>
    <row r="4" spans="1:22">
      <c r="C4" t="s">
        <v>332</v>
      </c>
    </row>
    <row r="6" spans="1:22">
      <c r="C6" s="7" t="s">
        <v>269</v>
      </c>
    </row>
    <row r="28" spans="3:16">
      <c r="C28" t="s">
        <v>333</v>
      </c>
    </row>
    <row r="29" spans="3:16">
      <c r="C29" t="s">
        <v>334</v>
      </c>
    </row>
    <row r="31" spans="3:16" s="8" customFormat="1" ht="21">
      <c r="C31" s="9" t="s">
        <v>335</v>
      </c>
      <c r="P31" s="10"/>
    </row>
    <row r="33" spans="3:22">
      <c r="C33" s="899" t="s">
        <v>336</v>
      </c>
      <c r="D33" s="900"/>
      <c r="E33" s="901"/>
      <c r="F33" s="902"/>
      <c r="G33" s="902"/>
      <c r="H33" s="902"/>
      <c r="I33" s="903"/>
      <c r="J33" s="904"/>
      <c r="K33" s="904"/>
      <c r="L33" s="904"/>
      <c r="M33" s="904"/>
      <c r="N33" s="904"/>
      <c r="O33" s="904"/>
      <c r="P33" s="904"/>
      <c r="Q33" s="904"/>
      <c r="R33" s="904"/>
      <c r="S33" s="904"/>
      <c r="T33" s="904"/>
      <c r="U33" s="904"/>
      <c r="V33" s="905"/>
    </row>
    <row r="34" spans="3:22">
      <c r="C34" s="906"/>
      <c r="D34" s="907"/>
      <c r="E34" s="908"/>
      <c r="F34" s="909"/>
      <c r="G34" s="909"/>
      <c r="H34" s="909"/>
      <c r="I34" s="910">
        <v>2011</v>
      </c>
      <c r="J34" s="909">
        <v>2012</v>
      </c>
      <c r="K34" s="909">
        <v>2013</v>
      </c>
      <c r="L34" s="909">
        <v>2014</v>
      </c>
      <c r="M34" s="909">
        <v>2015</v>
      </c>
      <c r="N34" s="909">
        <v>2016</v>
      </c>
      <c r="O34" s="909">
        <v>2017</v>
      </c>
      <c r="P34" s="909">
        <v>2018</v>
      </c>
      <c r="Q34" s="909">
        <v>2019</v>
      </c>
      <c r="R34" s="909">
        <v>2020</v>
      </c>
      <c r="S34" s="909">
        <v>2021</v>
      </c>
      <c r="T34" s="909">
        <v>2022</v>
      </c>
      <c r="U34" s="909">
        <v>2023</v>
      </c>
      <c r="V34" s="911">
        <v>2024</v>
      </c>
    </row>
    <row r="35" spans="3:22">
      <c r="C35" s="912" t="s">
        <v>337</v>
      </c>
      <c r="D35" s="913"/>
      <c r="E35" s="914"/>
      <c r="F35" s="902"/>
      <c r="G35" s="902"/>
      <c r="H35" s="902"/>
      <c r="I35" s="941"/>
      <c r="J35" s="942"/>
      <c r="K35" s="942"/>
      <c r="L35" s="942"/>
      <c r="M35" s="942"/>
      <c r="N35" s="942"/>
      <c r="O35" s="942"/>
      <c r="P35" s="942"/>
      <c r="Q35" s="942"/>
      <c r="R35" s="942"/>
      <c r="S35" s="942"/>
      <c r="T35" s="942"/>
      <c r="U35" s="943"/>
      <c r="V35" s="944"/>
    </row>
    <row r="36" spans="3:22">
      <c r="C36" s="915" t="s">
        <v>338</v>
      </c>
      <c r="D36" s="916"/>
      <c r="E36" s="917"/>
      <c r="F36" s="918"/>
      <c r="G36" s="918"/>
      <c r="H36" s="919"/>
      <c r="I36" s="945"/>
      <c r="J36" s="946"/>
      <c r="K36" s="946"/>
      <c r="L36" s="946"/>
      <c r="M36" s="946"/>
      <c r="N36" s="946"/>
      <c r="O36" s="946"/>
      <c r="P36" s="946"/>
      <c r="Q36" s="946"/>
      <c r="R36" s="946"/>
      <c r="S36" s="946"/>
      <c r="T36" s="946"/>
      <c r="U36" s="946"/>
      <c r="V36" s="947"/>
    </row>
    <row r="37" spans="3:22">
      <c r="C37" s="920" t="s">
        <v>339</v>
      </c>
      <c r="D37" s="921"/>
      <c r="E37" s="917"/>
      <c r="F37" s="918"/>
      <c r="G37" s="918"/>
      <c r="H37" s="922"/>
      <c r="I37" s="945">
        <v>2728107976.5106969</v>
      </c>
      <c r="J37" s="946">
        <v>2901452861.9411073</v>
      </c>
      <c r="K37" s="946">
        <v>3169109878.8268809</v>
      </c>
      <c r="L37" s="946">
        <v>2945292980.2143226</v>
      </c>
      <c r="M37" s="946">
        <v>2959168289.2634335</v>
      </c>
      <c r="N37" s="946">
        <v>2755967561.4839768</v>
      </c>
      <c r="O37" s="946">
        <v>2799352456.4038191</v>
      </c>
      <c r="P37" s="946">
        <v>2871801904.2337441</v>
      </c>
      <c r="Q37" s="946">
        <v>2891989642.4070382</v>
      </c>
      <c r="R37" s="946">
        <v>2735693045.596817</v>
      </c>
      <c r="S37" s="946">
        <v>2856742547.6921878</v>
      </c>
      <c r="T37" s="946">
        <v>3590972449.5255733</v>
      </c>
      <c r="U37" s="946">
        <v>4422787603.138257</v>
      </c>
      <c r="V37" s="947">
        <v>4190756739.6179595</v>
      </c>
    </row>
    <row r="38" spans="3:22">
      <c r="C38" s="923" t="s">
        <v>340</v>
      </c>
      <c r="D38" s="924"/>
      <c r="E38" s="917"/>
      <c r="F38" s="918"/>
      <c r="G38" s="918"/>
      <c r="H38" s="925"/>
      <c r="I38" s="963"/>
      <c r="J38" s="964">
        <v>362157612.27888131</v>
      </c>
      <c r="K38" s="964">
        <v>377799232.95823407</v>
      </c>
      <c r="L38" s="964">
        <v>402311573.9359495</v>
      </c>
      <c r="M38" s="965">
        <v>435529186.25542331</v>
      </c>
      <c r="N38" s="965">
        <v>414217753.18389893</v>
      </c>
      <c r="O38" s="965">
        <v>405015007.52810997</v>
      </c>
      <c r="P38" s="965">
        <v>401366460.60793686</v>
      </c>
      <c r="Q38" s="965">
        <v>378987035.61786133</v>
      </c>
      <c r="R38" s="965">
        <v>389950766.00722522</v>
      </c>
      <c r="S38" s="965">
        <v>381287341.78359973</v>
      </c>
      <c r="T38" s="965">
        <v>413749851.23992187</v>
      </c>
      <c r="U38" s="965">
        <v>438007432.63606697</v>
      </c>
      <c r="V38" s="966"/>
    </row>
    <row r="39" spans="3:22">
      <c r="C39" s="923" t="s">
        <v>341</v>
      </c>
      <c r="D39" s="924"/>
      <c r="E39" s="917"/>
      <c r="F39" s="918"/>
      <c r="G39" s="918"/>
      <c r="H39" s="925"/>
      <c r="I39" s="963">
        <v>2018799902.6179156</v>
      </c>
      <c r="J39" s="967">
        <v>2147075117.8364193</v>
      </c>
      <c r="K39" s="967">
        <v>2345141310.331892</v>
      </c>
      <c r="L39" s="967">
        <v>2179516805.3585987</v>
      </c>
      <c r="M39" s="967">
        <v>2189784534.0549407</v>
      </c>
      <c r="N39" s="967">
        <v>2039415995.4981427</v>
      </c>
      <c r="O39" s="967">
        <v>2071520817.738826</v>
      </c>
      <c r="P39" s="939">
        <v>2125133409.1329706</v>
      </c>
      <c r="Q39" s="940">
        <v>2140072335.3812082</v>
      </c>
      <c r="R39" s="940">
        <v>2024412853.7416446</v>
      </c>
      <c r="S39" s="940">
        <v>2113989485.2922189</v>
      </c>
      <c r="T39" s="940">
        <v>2657319612.6489244</v>
      </c>
      <c r="U39" s="940">
        <v>3272862826.32231</v>
      </c>
      <c r="V39" s="966">
        <v>3101159987.3172898</v>
      </c>
    </row>
    <row r="40" spans="3:22">
      <c r="C40" s="923" t="s">
        <v>342</v>
      </c>
      <c r="D40" s="924"/>
      <c r="E40" s="917"/>
      <c r="F40" s="918"/>
      <c r="G40" s="918"/>
      <c r="H40" s="925"/>
      <c r="I40" s="948"/>
      <c r="J40" s="949"/>
      <c r="K40" s="949"/>
      <c r="L40" s="949"/>
      <c r="M40" s="949"/>
      <c r="N40" s="949"/>
      <c r="O40" s="949"/>
      <c r="P40" s="950"/>
      <c r="Q40" s="951"/>
      <c r="R40" s="951"/>
      <c r="S40" s="951"/>
      <c r="T40" s="951"/>
      <c r="U40" s="951"/>
      <c r="V40" s="952"/>
    </row>
    <row r="41" spans="3:22">
      <c r="C41" s="920" t="s">
        <v>343</v>
      </c>
      <c r="D41" s="927"/>
      <c r="E41" s="917"/>
      <c r="F41" s="918"/>
      <c r="G41" s="918"/>
      <c r="H41" s="922"/>
      <c r="I41" s="968">
        <v>324628406.63393021</v>
      </c>
      <c r="J41" s="938">
        <v>350001294.7467643</v>
      </c>
      <c r="K41" s="938">
        <v>342213589.70560068</v>
      </c>
      <c r="L41" s="938">
        <v>326542625.8800168</v>
      </c>
      <c r="M41" s="938">
        <v>282523429.31331772</v>
      </c>
      <c r="N41" s="938">
        <v>258236929.42122</v>
      </c>
      <c r="O41" s="938">
        <v>273232794.45404583</v>
      </c>
      <c r="P41" s="938">
        <v>305520248.28381133</v>
      </c>
      <c r="Q41" s="938">
        <v>300765819.21442115</v>
      </c>
      <c r="R41" s="938">
        <v>238270474.49147913</v>
      </c>
      <c r="S41" s="938">
        <v>287668041.10566258</v>
      </c>
      <c r="T41" s="938">
        <v>358434438.11323756</v>
      </c>
      <c r="U41" s="938">
        <v>357751837.35177112</v>
      </c>
      <c r="V41" s="969">
        <v>346406836.9825781</v>
      </c>
    </row>
    <row r="42" spans="3:22">
      <c r="C42" s="920" t="s">
        <v>344</v>
      </c>
      <c r="D42" s="927"/>
      <c r="E42" s="917"/>
      <c r="F42" s="918"/>
      <c r="G42" s="918"/>
      <c r="H42" s="922"/>
      <c r="I42" s="948"/>
      <c r="J42" s="949"/>
      <c r="K42" s="949"/>
      <c r="L42" s="949"/>
      <c r="M42" s="949"/>
      <c r="N42" s="949"/>
      <c r="O42" s="949"/>
      <c r="P42" s="953"/>
      <c r="Q42" s="953"/>
      <c r="R42" s="953"/>
      <c r="S42" s="953"/>
      <c r="T42" s="953"/>
      <c r="U42" s="953"/>
      <c r="V42" s="952"/>
    </row>
    <row r="43" spans="3:22">
      <c r="C43" s="928"/>
      <c r="D43" s="929"/>
      <c r="E43" s="917"/>
      <c r="F43" s="918"/>
      <c r="G43" s="918"/>
      <c r="H43" s="930"/>
      <c r="I43" s="948"/>
      <c r="J43" s="949"/>
      <c r="K43" s="949"/>
      <c r="L43" s="949"/>
      <c r="M43" s="949"/>
      <c r="N43" s="949"/>
      <c r="O43" s="949"/>
      <c r="P43" s="953"/>
      <c r="Q43" s="953"/>
      <c r="R43" s="953"/>
      <c r="S43" s="953"/>
      <c r="T43" s="953"/>
      <c r="U43" s="954"/>
      <c r="V43" s="952"/>
    </row>
    <row r="44" spans="3:22">
      <c r="C44" s="912" t="s">
        <v>345</v>
      </c>
      <c r="D44" s="913"/>
      <c r="E44" s="931"/>
      <c r="F44" s="932"/>
      <c r="G44" s="932"/>
      <c r="H44" s="902"/>
      <c r="I44" s="955"/>
      <c r="J44" s="956"/>
      <c r="K44" s="956"/>
      <c r="L44" s="956"/>
      <c r="M44" s="956"/>
      <c r="N44" s="956"/>
      <c r="O44" s="956"/>
      <c r="P44" s="956"/>
      <c r="Q44" s="956"/>
      <c r="R44" s="956"/>
      <c r="S44" s="956"/>
      <c r="T44" s="956"/>
      <c r="U44" s="957"/>
      <c r="V44" s="958"/>
    </row>
    <row r="45" spans="3:22">
      <c r="C45" s="915" t="s">
        <v>338</v>
      </c>
      <c r="D45" s="916"/>
      <c r="E45" s="917"/>
      <c r="F45" s="918"/>
      <c r="G45" s="918"/>
      <c r="H45" s="919"/>
      <c r="I45" s="948"/>
      <c r="J45" s="949"/>
      <c r="K45" s="949"/>
      <c r="L45" s="949"/>
      <c r="M45" s="949"/>
      <c r="N45" s="949"/>
      <c r="O45" s="949"/>
      <c r="P45" s="953"/>
      <c r="Q45" s="946"/>
      <c r="R45" s="946"/>
      <c r="S45" s="946"/>
      <c r="T45" s="946"/>
      <c r="U45" s="946"/>
      <c r="V45" s="952"/>
    </row>
    <row r="46" spans="3:22" ht="28">
      <c r="C46" s="933" t="s">
        <v>339</v>
      </c>
      <c r="D46" s="921"/>
      <c r="E46" s="917"/>
      <c r="F46" s="918"/>
      <c r="G46" s="918"/>
      <c r="H46" s="934"/>
      <c r="I46" s="945">
        <v>352999943.41670692</v>
      </c>
      <c r="J46" s="946">
        <v>393052197.43657899</v>
      </c>
      <c r="K46" s="946">
        <v>443876978.6400001</v>
      </c>
      <c r="L46" s="946">
        <v>456946137.9270246</v>
      </c>
      <c r="M46" s="946">
        <v>491509358.06382602</v>
      </c>
      <c r="N46" s="946">
        <v>491832790.50991285</v>
      </c>
      <c r="O46" s="946">
        <v>532838590.15160626</v>
      </c>
      <c r="P46" s="946">
        <v>578073224.54873645</v>
      </c>
      <c r="Q46" s="946">
        <v>614406183.9972111</v>
      </c>
      <c r="R46" s="946">
        <v>619040068.5617671</v>
      </c>
      <c r="S46" s="946">
        <v>652272435.18294072</v>
      </c>
      <c r="T46" s="946">
        <v>829941887.73150456</v>
      </c>
      <c r="U46" s="946">
        <v>1125464202.9853396</v>
      </c>
      <c r="V46" s="947">
        <v>1074062481.2555959</v>
      </c>
    </row>
    <row r="47" spans="3:22">
      <c r="C47" s="923" t="s">
        <v>340</v>
      </c>
      <c r="D47" s="924"/>
      <c r="E47" s="917"/>
      <c r="F47" s="918"/>
      <c r="G47" s="918"/>
      <c r="H47" s="925"/>
      <c r="I47" s="970"/>
      <c r="J47" s="971">
        <v>48423335.210000001</v>
      </c>
      <c r="K47" s="971">
        <v>52643210.720000006</v>
      </c>
      <c r="L47" s="971">
        <v>63819412.750000022</v>
      </c>
      <c r="M47" s="972">
        <v>73741500.519999996</v>
      </c>
      <c r="N47" s="972">
        <v>82948193.309999987</v>
      </c>
      <c r="O47" s="972">
        <v>97316885.079999968</v>
      </c>
      <c r="P47" s="972">
        <v>98971743.539999977</v>
      </c>
      <c r="Q47" s="972">
        <v>106112430.44000004</v>
      </c>
      <c r="R47" s="972">
        <v>106818871.34999999</v>
      </c>
      <c r="S47" s="972">
        <v>104166672.09</v>
      </c>
      <c r="T47" s="972">
        <v>127269163.08000001</v>
      </c>
      <c r="U47" s="972">
        <v>130810741.59999999</v>
      </c>
      <c r="V47" s="973"/>
    </row>
    <row r="48" spans="3:22">
      <c r="C48" s="923" t="s">
        <v>341</v>
      </c>
      <c r="D48" s="924"/>
      <c r="E48" s="917"/>
      <c r="F48" s="918"/>
      <c r="G48" s="918"/>
      <c r="H48" s="925"/>
      <c r="I48" s="970">
        <v>261219958.1283631</v>
      </c>
      <c r="J48" s="974">
        <v>290858626.10306847</v>
      </c>
      <c r="K48" s="974">
        <v>328468964.19360006</v>
      </c>
      <c r="L48" s="974">
        <v>338140142.0659982</v>
      </c>
      <c r="M48" s="974">
        <v>363716924.96723127</v>
      </c>
      <c r="N48" s="974">
        <v>363956264.97733551</v>
      </c>
      <c r="O48" s="974">
        <v>394300556.7121886</v>
      </c>
      <c r="P48" s="926">
        <v>427774186.16606498</v>
      </c>
      <c r="Q48" s="938">
        <v>454660576.15793622</v>
      </c>
      <c r="R48" s="938">
        <v>458089650.73570764</v>
      </c>
      <c r="S48" s="938">
        <v>482681602.03537613</v>
      </c>
      <c r="T48" s="938">
        <v>614156996.92131341</v>
      </c>
      <c r="U48" s="938">
        <v>832843510.20915127</v>
      </c>
      <c r="V48" s="973">
        <v>794806236.12914097</v>
      </c>
    </row>
    <row r="49" spans="3:22">
      <c r="C49" s="923" t="s">
        <v>342</v>
      </c>
      <c r="D49" s="924"/>
      <c r="E49" s="917"/>
      <c r="F49" s="918"/>
      <c r="G49" s="918"/>
      <c r="H49" s="925"/>
      <c r="I49" s="970"/>
      <c r="J49" s="974"/>
      <c r="K49" s="974"/>
      <c r="L49" s="974"/>
      <c r="M49" s="974"/>
      <c r="N49" s="974"/>
      <c r="O49" s="974"/>
      <c r="P49" s="926"/>
      <c r="Q49" s="938"/>
      <c r="R49" s="938"/>
      <c r="S49" s="938"/>
      <c r="T49" s="938"/>
      <c r="U49" s="938"/>
      <c r="V49" s="973"/>
    </row>
    <row r="50" spans="3:22">
      <c r="C50" s="933" t="s">
        <v>343</v>
      </c>
      <c r="D50" s="921"/>
      <c r="E50" s="917"/>
      <c r="F50" s="918"/>
      <c r="G50" s="918"/>
      <c r="H50" s="934"/>
      <c r="I50" s="970">
        <v>150759988.55117926</v>
      </c>
      <c r="J50" s="974">
        <v>167671181.45233333</v>
      </c>
      <c r="K50" s="974">
        <v>165942327.97413757</v>
      </c>
      <c r="L50" s="974">
        <v>165593100.64243725</v>
      </c>
      <c r="M50" s="974">
        <v>148319318.9121609</v>
      </c>
      <c r="N50" s="974">
        <v>142733521.38217974</v>
      </c>
      <c r="O50" s="974">
        <v>170866821.22028431</v>
      </c>
      <c r="P50" s="975">
        <v>198667360.99765268</v>
      </c>
      <c r="Q50" s="938">
        <v>202644797.54296622</v>
      </c>
      <c r="R50" s="938">
        <v>166468591.35010388</v>
      </c>
      <c r="S50" s="938">
        <v>197108307.61011773</v>
      </c>
      <c r="T50" s="938">
        <v>263111081.21258521</v>
      </c>
      <c r="U50" s="938">
        <v>251593532.58300263</v>
      </c>
      <c r="V50" s="973">
        <v>242349786.92851707</v>
      </c>
    </row>
    <row r="51" spans="3:22">
      <c r="C51" s="928" t="s">
        <v>344</v>
      </c>
      <c r="D51" s="929"/>
      <c r="E51" s="917"/>
      <c r="F51" s="918"/>
      <c r="G51" s="918"/>
      <c r="H51" s="930"/>
      <c r="I51" s="948"/>
      <c r="J51" s="949"/>
      <c r="K51" s="949"/>
      <c r="L51" s="949"/>
      <c r="M51" s="949"/>
      <c r="N51" s="949"/>
      <c r="O51" s="949"/>
      <c r="P51" s="953"/>
      <c r="Q51" s="953"/>
      <c r="R51" s="953"/>
      <c r="S51" s="953"/>
      <c r="T51" s="953"/>
      <c r="U51" s="953"/>
      <c r="V51" s="952"/>
    </row>
    <row r="52" spans="3:22">
      <c r="C52" s="915"/>
      <c r="D52" s="916"/>
      <c r="E52" s="917"/>
      <c r="F52" s="918"/>
      <c r="G52" s="918"/>
      <c r="H52" s="919"/>
      <c r="I52" s="948"/>
      <c r="J52" s="949"/>
      <c r="K52" s="949"/>
      <c r="L52" s="949"/>
      <c r="M52" s="949"/>
      <c r="N52" s="949"/>
      <c r="O52" s="949"/>
      <c r="P52" s="953"/>
      <c r="Q52" s="953"/>
      <c r="R52" s="953"/>
      <c r="S52" s="953"/>
      <c r="T52" s="953"/>
      <c r="U52" s="953"/>
      <c r="V52" s="952"/>
    </row>
    <row r="53" spans="3:22">
      <c r="C53" s="912" t="s">
        <v>346</v>
      </c>
      <c r="D53" s="913"/>
      <c r="E53" s="931"/>
      <c r="F53" s="932"/>
      <c r="G53" s="932"/>
      <c r="H53" s="902"/>
      <c r="I53" s="955"/>
      <c r="J53" s="956"/>
      <c r="K53" s="956"/>
      <c r="L53" s="956"/>
      <c r="M53" s="956"/>
      <c r="N53" s="956"/>
      <c r="O53" s="956"/>
      <c r="P53" s="956"/>
      <c r="Q53" s="956"/>
      <c r="R53" s="956"/>
      <c r="S53" s="956"/>
      <c r="T53" s="956"/>
      <c r="U53" s="957"/>
      <c r="V53" s="958"/>
    </row>
    <row r="54" spans="3:22">
      <c r="C54" s="915" t="s">
        <v>338</v>
      </c>
      <c r="D54" s="916"/>
      <c r="E54" s="917"/>
      <c r="F54" s="918"/>
      <c r="G54" s="918"/>
      <c r="H54" s="919"/>
      <c r="I54" s="948"/>
      <c r="J54" s="949"/>
      <c r="K54" s="949"/>
      <c r="L54" s="949"/>
      <c r="M54" s="949"/>
      <c r="N54" s="949"/>
      <c r="O54" s="949"/>
      <c r="P54" s="953"/>
      <c r="Q54" s="946"/>
      <c r="R54" s="946"/>
      <c r="S54" s="946"/>
      <c r="T54" s="946"/>
      <c r="U54" s="946"/>
      <c r="V54" s="952"/>
    </row>
    <row r="55" spans="3:22" ht="28">
      <c r="C55" s="933" t="s">
        <v>339</v>
      </c>
      <c r="D55" s="921"/>
      <c r="E55" s="917"/>
      <c r="F55" s="918"/>
      <c r="G55" s="918"/>
      <c r="H55" s="934"/>
      <c r="I55" s="948">
        <v>172386371.04363704</v>
      </c>
      <c r="J55" s="949">
        <v>193356812.52399158</v>
      </c>
      <c r="K55" s="949">
        <v>209059158.92738843</v>
      </c>
      <c r="L55" s="949">
        <v>201778783.69967133</v>
      </c>
      <c r="M55" s="949">
        <v>216945503.78212661</v>
      </c>
      <c r="N55" s="949">
        <v>218133466.56934345</v>
      </c>
      <c r="O55" s="949">
        <v>215476656.07933685</v>
      </c>
      <c r="P55" s="959">
        <v>221408828.59040582</v>
      </c>
      <c r="Q55" s="946">
        <v>226868307.85800546</v>
      </c>
      <c r="R55" s="946">
        <v>229330658.2579304</v>
      </c>
      <c r="S55" s="946">
        <v>251222639.51588866</v>
      </c>
      <c r="T55" s="946">
        <v>314927701.07562232</v>
      </c>
      <c r="U55" s="946">
        <v>420251140.54393315</v>
      </c>
      <c r="V55" s="952">
        <v>380868797.29013932</v>
      </c>
    </row>
    <row r="56" spans="3:22">
      <c r="C56" s="923" t="s">
        <v>340</v>
      </c>
      <c r="D56" s="924"/>
      <c r="E56" s="917"/>
      <c r="F56" s="918"/>
      <c r="G56" s="918"/>
      <c r="H56" s="925"/>
      <c r="I56" s="970"/>
      <c r="J56" s="974">
        <v>11275209.83</v>
      </c>
      <c r="K56" s="974">
        <v>13540123.929999998</v>
      </c>
      <c r="L56" s="974">
        <v>17792304.59</v>
      </c>
      <c r="M56" s="974">
        <v>19380099.349999998</v>
      </c>
      <c r="N56" s="974">
        <v>22058054.73</v>
      </c>
      <c r="O56" s="974">
        <v>21406548.91</v>
      </c>
      <c r="P56" s="926">
        <v>23467720.690000001</v>
      </c>
      <c r="Q56" s="938">
        <v>22784707.850000001</v>
      </c>
      <c r="R56" s="938">
        <v>20251375.41</v>
      </c>
      <c r="S56" s="938">
        <v>20346587.300000001</v>
      </c>
      <c r="T56" s="938">
        <v>22693889.170000002</v>
      </c>
      <c r="U56" s="938">
        <v>21767432.010000002</v>
      </c>
      <c r="V56" s="973"/>
    </row>
    <row r="57" spans="3:22">
      <c r="C57" s="923" t="s">
        <v>341</v>
      </c>
      <c r="D57" s="924"/>
      <c r="E57" s="917"/>
      <c r="F57" s="918"/>
      <c r="G57" s="918"/>
      <c r="H57" s="925"/>
      <c r="I57" s="970">
        <v>127986853.46046773</v>
      </c>
      <c r="J57" s="974">
        <v>143883569.3788318</v>
      </c>
      <c r="K57" s="974">
        <v>155165500.40530813</v>
      </c>
      <c r="L57" s="974">
        <v>149906549.3517552</v>
      </c>
      <c r="M57" s="974">
        <v>161853777.20609498</v>
      </c>
      <c r="N57" s="974">
        <v>162963574.65637916</v>
      </c>
      <c r="O57" s="974">
        <v>161013826.64445829</v>
      </c>
      <c r="P57" s="926">
        <v>165581252.6203635</v>
      </c>
      <c r="Q57" s="938">
        <v>169789339.33471143</v>
      </c>
      <c r="R57" s="938">
        <v>171395605.92335209</v>
      </c>
      <c r="S57" s="938">
        <v>187417985.11477318</v>
      </c>
      <c r="T57" s="938">
        <v>234219524.58881238</v>
      </c>
      <c r="U57" s="938">
        <v>312195945.57572645</v>
      </c>
      <c r="V57" s="973">
        <v>283606938.29428661</v>
      </c>
    </row>
    <row r="58" spans="3:22">
      <c r="C58" s="923" t="s">
        <v>342</v>
      </c>
      <c r="D58" s="924"/>
      <c r="E58" s="917"/>
      <c r="F58" s="918"/>
      <c r="G58" s="918"/>
      <c r="H58" s="925"/>
      <c r="I58" s="970"/>
      <c r="J58" s="974"/>
      <c r="K58" s="974"/>
      <c r="L58" s="974"/>
      <c r="M58" s="974"/>
      <c r="N58" s="974"/>
      <c r="O58" s="974"/>
      <c r="P58" s="926"/>
      <c r="Q58" s="938"/>
      <c r="R58" s="938"/>
      <c r="S58" s="938"/>
      <c r="T58" s="938"/>
      <c r="U58" s="938"/>
      <c r="V58" s="973"/>
    </row>
    <row r="59" spans="3:22">
      <c r="C59" s="933" t="s">
        <v>343</v>
      </c>
      <c r="D59" s="921"/>
      <c r="E59" s="917"/>
      <c r="F59" s="918"/>
      <c r="G59" s="918"/>
      <c r="H59" s="934"/>
      <c r="I59" s="970">
        <v>80604103.896556765</v>
      </c>
      <c r="J59" s="974">
        <v>87406364.906085491</v>
      </c>
      <c r="K59" s="974">
        <v>85697078.523032755</v>
      </c>
      <c r="L59" s="974">
        <v>81852825.473536476</v>
      </c>
      <c r="M59" s="974">
        <v>73752997.631663412</v>
      </c>
      <c r="N59" s="974">
        <v>68846630.996527508</v>
      </c>
      <c r="O59" s="974">
        <v>69792531.486041397</v>
      </c>
      <c r="P59" s="975">
        <v>84644517.039625049</v>
      </c>
      <c r="Q59" s="938">
        <v>85207450.767578378</v>
      </c>
      <c r="R59" s="938">
        <v>70232068.24718146</v>
      </c>
      <c r="S59" s="938">
        <v>85056021.043333322</v>
      </c>
      <c r="T59" s="938">
        <v>112484599.37867735</v>
      </c>
      <c r="U59" s="938">
        <v>107917933.21416271</v>
      </c>
      <c r="V59" s="973">
        <v>100244961.271529</v>
      </c>
    </row>
    <row r="60" spans="3:22">
      <c r="C60" s="928" t="s">
        <v>344</v>
      </c>
      <c r="D60" s="929"/>
      <c r="E60" s="917"/>
      <c r="F60" s="918"/>
      <c r="G60" s="918"/>
      <c r="H60" s="930"/>
      <c r="I60" s="948"/>
      <c r="J60" s="949"/>
      <c r="K60" s="949"/>
      <c r="L60" s="949"/>
      <c r="M60" s="949"/>
      <c r="N60" s="949"/>
      <c r="O60" s="949"/>
      <c r="P60" s="953"/>
      <c r="Q60" s="953"/>
      <c r="R60" s="953"/>
      <c r="S60" s="953"/>
      <c r="T60" s="953"/>
      <c r="U60" s="953"/>
      <c r="V60" s="952"/>
    </row>
    <row r="61" spans="3:22">
      <c r="C61" s="915"/>
      <c r="D61" s="916"/>
      <c r="E61" s="917"/>
      <c r="F61" s="918"/>
      <c r="G61" s="918"/>
      <c r="H61" s="919"/>
      <c r="I61" s="948"/>
      <c r="J61" s="949"/>
      <c r="K61" s="949"/>
      <c r="L61" s="949"/>
      <c r="M61" s="949"/>
      <c r="N61" s="949"/>
      <c r="O61" s="949"/>
      <c r="P61" s="953"/>
      <c r="Q61" s="953"/>
      <c r="R61" s="953"/>
      <c r="S61" s="953"/>
      <c r="T61" s="953"/>
      <c r="U61" s="953"/>
      <c r="V61" s="952"/>
    </row>
    <row r="62" spans="3:22">
      <c r="C62" s="912" t="s">
        <v>325</v>
      </c>
      <c r="D62" s="913"/>
      <c r="E62" s="931"/>
      <c r="F62" s="932"/>
      <c r="G62" s="932"/>
      <c r="H62" s="902"/>
      <c r="I62" s="955"/>
      <c r="J62" s="956"/>
      <c r="K62" s="956"/>
      <c r="L62" s="956"/>
      <c r="M62" s="956"/>
      <c r="N62" s="956"/>
      <c r="O62" s="956"/>
      <c r="P62" s="956"/>
      <c r="Q62" s="956"/>
      <c r="R62" s="956"/>
      <c r="S62" s="956"/>
      <c r="T62" s="956"/>
      <c r="U62" s="957"/>
      <c r="V62" s="958"/>
    </row>
    <row r="63" spans="3:22">
      <c r="C63" s="915" t="s">
        <v>338</v>
      </c>
      <c r="D63" s="916"/>
      <c r="E63" s="917"/>
      <c r="F63" s="918"/>
      <c r="G63" s="918"/>
      <c r="H63" s="919"/>
      <c r="I63" s="948"/>
      <c r="J63" s="949"/>
      <c r="K63" s="949"/>
      <c r="L63" s="949"/>
      <c r="M63" s="949"/>
      <c r="N63" s="949"/>
      <c r="O63" s="949"/>
      <c r="P63" s="953"/>
      <c r="Q63" s="946"/>
      <c r="R63" s="946"/>
      <c r="S63" s="946"/>
      <c r="T63" s="946"/>
      <c r="U63" s="946"/>
      <c r="V63" s="952"/>
    </row>
    <row r="64" spans="3:22" ht="28">
      <c r="C64" s="933" t="s">
        <v>339</v>
      </c>
      <c r="D64" s="921"/>
      <c r="E64" s="917"/>
      <c r="F64" s="918"/>
      <c r="G64" s="918"/>
      <c r="H64" s="934"/>
      <c r="I64" s="948">
        <v>150470481.2479316</v>
      </c>
      <c r="J64" s="949">
        <v>163714636.29051384</v>
      </c>
      <c r="K64" s="949">
        <v>183633889.71399498</v>
      </c>
      <c r="L64" s="949">
        <v>167587748.73224145</v>
      </c>
      <c r="M64" s="949">
        <v>174630830.61468044</v>
      </c>
      <c r="N64" s="949">
        <v>183545698.19070098</v>
      </c>
      <c r="O64" s="949">
        <v>205991612.1728794</v>
      </c>
      <c r="P64" s="959">
        <v>215314061.85646412</v>
      </c>
      <c r="Q64" s="946">
        <v>223278038.92747295</v>
      </c>
      <c r="R64" s="946">
        <v>211359668.31267425</v>
      </c>
      <c r="S64" s="946">
        <v>225196341.83859244</v>
      </c>
      <c r="T64" s="946">
        <v>305190168.72476</v>
      </c>
      <c r="U64" s="946">
        <v>468979666.01117766</v>
      </c>
      <c r="V64" s="952">
        <v>439295875.93622774</v>
      </c>
    </row>
    <row r="65" spans="3:24">
      <c r="C65" s="923" t="s">
        <v>340</v>
      </c>
      <c r="D65" s="924"/>
      <c r="E65" s="917"/>
      <c r="F65" s="918"/>
      <c r="G65" s="918"/>
      <c r="H65" s="925"/>
      <c r="I65" s="970"/>
      <c r="J65" s="974"/>
      <c r="K65" s="974"/>
      <c r="L65" s="974"/>
      <c r="M65" s="974"/>
      <c r="N65" s="974"/>
      <c r="O65" s="974"/>
      <c r="P65" s="926"/>
      <c r="Q65" s="938"/>
      <c r="R65" s="938"/>
      <c r="S65" s="938"/>
      <c r="T65" s="938"/>
      <c r="U65" s="938"/>
      <c r="V65" s="973"/>
    </row>
    <row r="66" spans="3:24">
      <c r="C66" s="923" t="s">
        <v>341</v>
      </c>
      <c r="D66" s="924"/>
      <c r="E66" s="917"/>
      <c r="F66" s="918"/>
      <c r="G66" s="918"/>
      <c r="H66" s="925"/>
      <c r="I66" s="970">
        <v>111348156.12346938</v>
      </c>
      <c r="J66" s="974">
        <v>121148830.85498025</v>
      </c>
      <c r="K66" s="974">
        <v>135889078.3883563</v>
      </c>
      <c r="L66" s="974">
        <v>124014934.06185867</v>
      </c>
      <c r="M66" s="974">
        <v>129226814.65486352</v>
      </c>
      <c r="N66" s="974">
        <v>135823816.66111872</v>
      </c>
      <c r="O66" s="974">
        <v>152433793.00793076</v>
      </c>
      <c r="P66" s="926">
        <v>159332405.77378345</v>
      </c>
      <c r="Q66" s="938">
        <v>165225748.80632997</v>
      </c>
      <c r="R66" s="938">
        <v>156406154.55137894</v>
      </c>
      <c r="S66" s="938">
        <v>166645292.96055841</v>
      </c>
      <c r="T66" s="938">
        <v>225840724.85632241</v>
      </c>
      <c r="U66" s="938">
        <v>347044952.84827149</v>
      </c>
      <c r="V66" s="973">
        <v>325078948.19280851</v>
      </c>
    </row>
    <row r="67" spans="3:24">
      <c r="C67" s="923" t="s">
        <v>342</v>
      </c>
      <c r="D67" s="924"/>
      <c r="E67" s="917"/>
      <c r="F67" s="918"/>
      <c r="G67" s="918"/>
      <c r="H67" s="925"/>
      <c r="I67" s="970"/>
      <c r="J67" s="974"/>
      <c r="K67" s="974"/>
      <c r="L67" s="974"/>
      <c r="M67" s="974"/>
      <c r="N67" s="974"/>
      <c r="O67" s="974"/>
      <c r="P67" s="926"/>
      <c r="Q67" s="938"/>
      <c r="R67" s="938"/>
      <c r="S67" s="938"/>
      <c r="T67" s="938"/>
      <c r="U67" s="938"/>
      <c r="V67" s="973"/>
    </row>
    <row r="68" spans="3:24">
      <c r="C68" s="933" t="s">
        <v>343</v>
      </c>
      <c r="D68" s="921"/>
      <c r="E68" s="917"/>
      <c r="F68" s="918"/>
      <c r="G68" s="918"/>
      <c r="H68" s="934"/>
      <c r="I68" s="970">
        <v>120562668.38846363</v>
      </c>
      <c r="J68" s="974">
        <v>135673682.09690931</v>
      </c>
      <c r="K68" s="974">
        <v>136694283.6278387</v>
      </c>
      <c r="L68" s="974">
        <v>122291471.80973436</v>
      </c>
      <c r="M68" s="974">
        <v>106715017.52753429</v>
      </c>
      <c r="N68" s="974">
        <v>96817421.409659445</v>
      </c>
      <c r="O68" s="974">
        <v>106208133.1047865</v>
      </c>
      <c r="P68" s="975">
        <v>118612766.75267123</v>
      </c>
      <c r="Q68" s="938">
        <v>115949877.90776323</v>
      </c>
      <c r="R68" s="938">
        <v>87209440.873825863</v>
      </c>
      <c r="S68" s="938">
        <v>114274713.98102029</v>
      </c>
      <c r="T68" s="938">
        <v>147695940.25374511</v>
      </c>
      <c r="U68" s="938">
        <v>142790267.77348921</v>
      </c>
      <c r="V68" s="973">
        <v>140701469.22059017</v>
      </c>
    </row>
    <row r="69" spans="3:24">
      <c r="C69" s="928" t="s">
        <v>344</v>
      </c>
      <c r="D69" s="929"/>
      <c r="E69" s="917"/>
      <c r="F69" s="918"/>
      <c r="G69" s="918"/>
      <c r="H69" s="930"/>
      <c r="I69" s="948"/>
      <c r="J69" s="949"/>
      <c r="K69" s="949"/>
      <c r="L69" s="949"/>
      <c r="M69" s="949"/>
      <c r="N69" s="949"/>
      <c r="O69" s="949"/>
      <c r="P69" s="953"/>
      <c r="Q69" s="953"/>
      <c r="R69" s="953"/>
      <c r="S69" s="953"/>
      <c r="T69" s="953"/>
      <c r="U69" s="953"/>
      <c r="V69" s="952"/>
    </row>
    <row r="70" spans="3:24">
      <c r="C70" s="915"/>
      <c r="D70" s="916"/>
      <c r="E70" s="917"/>
      <c r="F70" s="918"/>
      <c r="G70" s="918"/>
      <c r="H70" s="919"/>
      <c r="I70" s="948"/>
      <c r="J70" s="949"/>
      <c r="K70" s="949"/>
      <c r="L70" s="949"/>
      <c r="M70" s="949"/>
      <c r="N70" s="949"/>
      <c r="O70" s="949"/>
      <c r="P70" s="953"/>
      <c r="Q70" s="953"/>
      <c r="R70" s="953"/>
      <c r="S70" s="953"/>
      <c r="T70" s="953"/>
      <c r="U70" s="953"/>
      <c r="V70" s="952"/>
    </row>
    <row r="71" spans="3:24">
      <c r="C71" s="912" t="s">
        <v>326</v>
      </c>
      <c r="D71" s="913"/>
      <c r="E71" s="931"/>
      <c r="F71" s="932"/>
      <c r="G71" s="932"/>
      <c r="H71" s="902"/>
      <c r="I71" s="955"/>
      <c r="J71" s="956"/>
      <c r="K71" s="956"/>
      <c r="L71" s="956"/>
      <c r="M71" s="956"/>
      <c r="N71" s="956"/>
      <c r="O71" s="956"/>
      <c r="P71" s="956"/>
      <c r="Q71" s="956"/>
      <c r="R71" s="956"/>
      <c r="S71" s="956"/>
      <c r="T71" s="956"/>
      <c r="U71" s="957"/>
      <c r="V71" s="958"/>
      <c r="W71" s="470"/>
    </row>
    <row r="72" spans="3:24">
      <c r="C72" s="915" t="s">
        <v>338</v>
      </c>
      <c r="D72" s="916"/>
      <c r="E72" s="917"/>
      <c r="F72" s="918"/>
      <c r="G72" s="918"/>
      <c r="H72" s="919"/>
      <c r="I72" s="948"/>
      <c r="J72" s="949"/>
      <c r="K72" s="949"/>
      <c r="L72" s="949"/>
      <c r="M72" s="949"/>
      <c r="N72" s="949"/>
      <c r="O72" s="949"/>
      <c r="P72" s="953"/>
      <c r="Q72" s="953"/>
      <c r="R72" s="953"/>
      <c r="S72" s="953"/>
      <c r="T72" s="953"/>
      <c r="U72" s="953"/>
      <c r="V72" s="952"/>
    </row>
    <row r="73" spans="3:24" ht="28">
      <c r="C73" s="933" t="s">
        <v>339</v>
      </c>
      <c r="D73" s="921"/>
      <c r="E73" s="917"/>
      <c r="F73" s="918"/>
      <c r="G73" s="918"/>
      <c r="H73" s="934"/>
      <c r="I73" s="948">
        <v>13279932.870000003</v>
      </c>
      <c r="J73" s="949">
        <v>13701353.770000001</v>
      </c>
      <c r="K73" s="949">
        <v>22450510.799999997</v>
      </c>
      <c r="L73" s="949">
        <v>29961640.270000003</v>
      </c>
      <c r="M73" s="949">
        <v>46177210.830000013</v>
      </c>
      <c r="N73" s="949">
        <v>83556268.669999987</v>
      </c>
      <c r="O73" s="949">
        <v>85536688.759999976</v>
      </c>
      <c r="P73" s="959">
        <v>93565842.159999996</v>
      </c>
      <c r="Q73" s="946">
        <v>100594874.18999998</v>
      </c>
      <c r="R73" s="946">
        <v>97860164.309999973</v>
      </c>
      <c r="S73" s="946">
        <v>103586792.38999999</v>
      </c>
      <c r="T73" s="946">
        <v>116594514.44</v>
      </c>
      <c r="U73" s="946">
        <v>210449233.46999997</v>
      </c>
      <c r="V73" s="952">
        <v>245376842.23999998</v>
      </c>
    </row>
    <row r="74" spans="3:24">
      <c r="C74" s="923" t="s">
        <v>340</v>
      </c>
      <c r="D74" s="924"/>
      <c r="E74" s="917"/>
      <c r="F74" s="918"/>
      <c r="G74" s="918"/>
      <c r="H74" s="925"/>
      <c r="I74" s="948"/>
      <c r="J74" s="949"/>
      <c r="K74" s="949"/>
      <c r="L74" s="949"/>
      <c r="M74" s="949"/>
      <c r="N74" s="949"/>
      <c r="O74" s="949"/>
      <c r="P74" s="950"/>
      <c r="Q74" s="946"/>
      <c r="R74" s="946"/>
      <c r="S74" s="946"/>
      <c r="T74" s="946"/>
      <c r="U74" s="946"/>
      <c r="V74" s="952"/>
    </row>
    <row r="75" spans="3:24">
      <c r="C75" s="923" t="s">
        <v>341</v>
      </c>
      <c r="D75" s="924"/>
      <c r="E75" s="917"/>
      <c r="F75" s="918"/>
      <c r="G75" s="918"/>
      <c r="H75" s="925"/>
      <c r="I75" s="970">
        <v>9827150.3238000013</v>
      </c>
      <c r="J75" s="974">
        <v>10139001.789800001</v>
      </c>
      <c r="K75" s="974">
        <v>16613377.991999997</v>
      </c>
      <c r="L75" s="974">
        <v>22171613.799800001</v>
      </c>
      <c r="M75" s="974">
        <v>34171136.014200009</v>
      </c>
      <c r="N75" s="974">
        <v>61831638.815799989</v>
      </c>
      <c r="O75" s="974">
        <v>63297149.682399981</v>
      </c>
      <c r="P75" s="926">
        <v>69238723.198399991</v>
      </c>
      <c r="Q75" s="938">
        <v>74440206.900599986</v>
      </c>
      <c r="R75" s="938">
        <v>72416521.589399979</v>
      </c>
      <c r="S75" s="938">
        <v>76654226.368599981</v>
      </c>
      <c r="T75" s="938">
        <v>86279940.685599998</v>
      </c>
      <c r="U75" s="938">
        <v>155732432.76779997</v>
      </c>
      <c r="V75" s="973">
        <v>181578863.25759998</v>
      </c>
    </row>
    <row r="76" spans="3:24">
      <c r="C76" s="923" t="s">
        <v>342</v>
      </c>
      <c r="D76" s="924"/>
      <c r="E76" s="917"/>
      <c r="F76" s="918"/>
      <c r="G76" s="918"/>
      <c r="H76" s="925"/>
      <c r="I76" s="970"/>
      <c r="J76" s="974"/>
      <c r="K76" s="974"/>
      <c r="L76" s="974"/>
      <c r="M76" s="974"/>
      <c r="N76" s="974"/>
      <c r="O76" s="974"/>
      <c r="P76" s="926"/>
      <c r="Q76" s="938"/>
      <c r="R76" s="938"/>
      <c r="S76" s="938"/>
      <c r="T76" s="938"/>
      <c r="U76" s="938"/>
      <c r="V76" s="973"/>
    </row>
    <row r="77" spans="3:24">
      <c r="C77" s="933" t="s">
        <v>343</v>
      </c>
      <c r="D77" s="921"/>
      <c r="E77" s="917"/>
      <c r="F77" s="918"/>
      <c r="G77" s="918"/>
      <c r="H77" s="934"/>
      <c r="I77" s="970">
        <v>5935638.3399999999</v>
      </c>
      <c r="J77" s="974">
        <v>6130403.3700000001</v>
      </c>
      <c r="K77" s="974">
        <v>6176835.080000001</v>
      </c>
      <c r="L77" s="974">
        <v>5888602.1699999999</v>
      </c>
      <c r="M77" s="974">
        <v>5222617.07</v>
      </c>
      <c r="N77" s="974">
        <v>6690915.6100000003</v>
      </c>
      <c r="O77" s="974">
        <v>6616442.6299999999</v>
      </c>
      <c r="P77" s="975">
        <v>9368256.0299999993</v>
      </c>
      <c r="Q77" s="938">
        <v>9706294.9800000004</v>
      </c>
      <c r="R77" s="938">
        <v>7535683.6100000003</v>
      </c>
      <c r="S77" s="938">
        <v>8231494.5599999987</v>
      </c>
      <c r="T77" s="938">
        <v>11259409.299999999</v>
      </c>
      <c r="U77" s="938">
        <v>11521201.75</v>
      </c>
      <c r="V77" s="973">
        <v>11723175.119999999</v>
      </c>
    </row>
    <row r="78" spans="3:24">
      <c r="C78" s="928" t="s">
        <v>344</v>
      </c>
      <c r="D78" s="929"/>
      <c r="E78" s="917"/>
      <c r="F78" s="918"/>
      <c r="G78" s="918"/>
      <c r="H78" s="930"/>
      <c r="I78" s="948"/>
      <c r="J78" s="949"/>
      <c r="K78" s="949"/>
      <c r="L78" s="949"/>
      <c r="M78" s="949"/>
      <c r="N78" s="949"/>
      <c r="O78" s="949"/>
      <c r="P78" s="953"/>
      <c r="Q78" s="953"/>
      <c r="R78" s="953"/>
      <c r="S78" s="953"/>
      <c r="T78" s="953"/>
      <c r="U78" s="953"/>
      <c r="V78" s="952"/>
    </row>
    <row r="79" spans="3:24">
      <c r="C79" s="935" t="s">
        <v>347</v>
      </c>
      <c r="D79" s="936"/>
      <c r="E79" s="937"/>
      <c r="F79" s="932"/>
      <c r="G79" s="932"/>
      <c r="H79" s="902"/>
      <c r="I79" s="960">
        <f>I73+I64+I55+I46+I37</f>
        <v>3417244705.0889726</v>
      </c>
      <c r="J79" s="961">
        <f>J73+J64+J55+J46+J37</f>
        <v>3665277861.9621916</v>
      </c>
      <c r="K79" s="961">
        <f t="shared" ref="K79:T79" si="0">K73+K64+K55+K46+K37</f>
        <v>4028130416.9082642</v>
      </c>
      <c r="L79" s="961">
        <f t="shared" si="0"/>
        <v>3801567290.8432598</v>
      </c>
      <c r="M79" s="961">
        <f t="shared" si="0"/>
        <v>3888431192.5540667</v>
      </c>
      <c r="N79" s="961">
        <f t="shared" si="0"/>
        <v>3733035785.423934</v>
      </c>
      <c r="O79" s="961">
        <f t="shared" si="0"/>
        <v>3839196003.5676413</v>
      </c>
      <c r="P79" s="961">
        <f t="shared" si="0"/>
        <v>3980163861.3893504</v>
      </c>
      <c r="Q79" s="961">
        <f t="shared" si="0"/>
        <v>4057137047.3797278</v>
      </c>
      <c r="R79" s="961">
        <f t="shared" si="0"/>
        <v>3893283605.0391889</v>
      </c>
      <c r="S79" s="961">
        <f t="shared" si="0"/>
        <v>4089020756.6196098</v>
      </c>
      <c r="T79" s="961">
        <f t="shared" si="0"/>
        <v>5157626721.4974604</v>
      </c>
      <c r="U79" s="961">
        <f>U73+U64+U55+U46+U37</f>
        <v>6647931846.1487074</v>
      </c>
      <c r="V79" s="962">
        <f>V73+V64+V55+V46+V37</f>
        <v>6330360736.339922</v>
      </c>
      <c r="X79" s="1301">
        <f>V79/L79-1</f>
        <v>0.6651976019437309</v>
      </c>
    </row>
    <row r="80" spans="3:24">
      <c r="C80" s="308" t="s">
        <v>348</v>
      </c>
      <c r="D80" s="466"/>
      <c r="E80" s="307"/>
      <c r="F80" s="307"/>
      <c r="G80" s="307"/>
      <c r="H80" s="466"/>
      <c r="P80" s="308"/>
      <c r="Q80" s="309"/>
      <c r="R80" s="309"/>
      <c r="S80" s="309"/>
      <c r="T80" s="307"/>
      <c r="U80" s="307"/>
    </row>
    <row r="81" spans="1:22">
      <c r="C81" s="309" t="s">
        <v>349</v>
      </c>
      <c r="D81" s="307"/>
      <c r="E81" s="307"/>
      <c r="F81" s="307"/>
      <c r="G81" s="307"/>
      <c r="H81" s="307"/>
      <c r="P81" s="309"/>
      <c r="Q81" s="309"/>
      <c r="R81" s="309"/>
      <c r="S81" s="309"/>
      <c r="T81" s="307"/>
      <c r="U81" s="307"/>
    </row>
    <row r="82" spans="1:22">
      <c r="C82" s="309" t="s">
        <v>350</v>
      </c>
      <c r="D82" s="307"/>
      <c r="E82" s="307"/>
      <c r="F82" s="307"/>
      <c r="G82" s="307"/>
      <c r="H82" s="307"/>
      <c r="P82" s="309"/>
      <c r="Q82" s="309"/>
      <c r="R82" s="309"/>
      <c r="S82" s="309"/>
      <c r="T82" s="307"/>
      <c r="U82" s="307"/>
    </row>
    <row r="83" spans="1:22">
      <c r="C83" s="309" t="s">
        <v>351</v>
      </c>
      <c r="D83" s="307"/>
      <c r="E83" s="307"/>
      <c r="F83" s="307"/>
      <c r="G83" s="307"/>
      <c r="H83" s="307"/>
      <c r="P83" s="309"/>
      <c r="Q83" s="309"/>
      <c r="R83" s="309"/>
      <c r="S83" s="309"/>
      <c r="T83" s="307"/>
      <c r="U83" s="307"/>
    </row>
    <row r="84" spans="1:22">
      <c r="C84" s="390" t="s">
        <v>352</v>
      </c>
      <c r="D84" s="464"/>
      <c r="H84" s="464"/>
      <c r="P84" s="390"/>
    </row>
    <row r="85" spans="1:22">
      <c r="C85" s="309"/>
      <c r="H85" s="307"/>
    </row>
    <row r="87" spans="1:22">
      <c r="C87" s="7" t="s">
        <v>353</v>
      </c>
    </row>
    <row r="89" spans="1:22">
      <c r="C89" t="s">
        <v>354</v>
      </c>
    </row>
    <row r="91" spans="1:22">
      <c r="C91" s="200" t="s">
        <v>355</v>
      </c>
      <c r="D91" s="206"/>
    </row>
    <row r="93" spans="1:22">
      <c r="A93" t="s">
        <v>356</v>
      </c>
      <c r="C93" t="s">
        <v>357</v>
      </c>
    </row>
    <row r="95" spans="1:22">
      <c r="A95" s="120" t="s">
        <v>358</v>
      </c>
      <c r="C95" s="15" t="s">
        <v>359</v>
      </c>
    </row>
    <row r="96" spans="1:22">
      <c r="A96" s="120" t="s">
        <v>858</v>
      </c>
      <c r="C96" s="400"/>
      <c r="D96" s="63"/>
      <c r="E96" s="63"/>
      <c r="F96" s="63"/>
      <c r="G96" s="64"/>
      <c r="I96" s="344">
        <v>2011</v>
      </c>
      <c r="J96" s="345">
        <v>2012</v>
      </c>
      <c r="K96" s="345">
        <v>2013</v>
      </c>
      <c r="L96" s="345">
        <v>2014</v>
      </c>
      <c r="M96" s="345">
        <v>2015</v>
      </c>
      <c r="N96" s="345">
        <v>2016</v>
      </c>
      <c r="O96" s="345">
        <v>2017</v>
      </c>
      <c r="P96" s="345">
        <v>2018</v>
      </c>
      <c r="Q96" s="345">
        <v>2019</v>
      </c>
      <c r="R96" s="345">
        <v>2020</v>
      </c>
      <c r="S96" s="345">
        <v>2021</v>
      </c>
      <c r="T96" s="345">
        <v>2022</v>
      </c>
      <c r="U96" s="345">
        <v>2023</v>
      </c>
      <c r="V96" s="1085">
        <v>2024</v>
      </c>
    </row>
    <row r="97" spans="3:22">
      <c r="C97" s="399" t="s">
        <v>321</v>
      </c>
      <c r="G97" s="31"/>
      <c r="I97" s="1086">
        <v>12.26994262</v>
      </c>
      <c r="J97" s="1087">
        <v>14.59141982</v>
      </c>
      <c r="K97" s="1087">
        <v>14.06450691</v>
      </c>
      <c r="L97" s="1087">
        <v>10.39434784</v>
      </c>
      <c r="M97" s="1087">
        <v>11.758205390000001</v>
      </c>
      <c r="N97" s="1087">
        <v>12.61650084</v>
      </c>
      <c r="O97" s="1087">
        <v>12.334412820000001</v>
      </c>
      <c r="P97" s="1087">
        <v>12.54802844</v>
      </c>
      <c r="Q97" s="1087">
        <v>12.03626951</v>
      </c>
      <c r="R97" s="1087">
        <v>11.993754190000001</v>
      </c>
      <c r="S97" s="1087">
        <v>13.807755480000001</v>
      </c>
      <c r="T97" s="1087">
        <v>10.578457670000001</v>
      </c>
      <c r="U97" s="1087">
        <v>11.46084258</v>
      </c>
      <c r="V97" s="1088">
        <v>11.777774190000001</v>
      </c>
    </row>
    <row r="98" spans="3:22">
      <c r="C98" s="399" t="s">
        <v>360</v>
      </c>
      <c r="G98" s="31"/>
      <c r="I98" s="395">
        <v>2.4351155750000002</v>
      </c>
      <c r="J98" s="1084">
        <v>2.6132525040000001</v>
      </c>
      <c r="K98" s="1084">
        <v>3.0799128269999998</v>
      </c>
      <c r="L98" s="1084">
        <v>2.7918991360000001</v>
      </c>
      <c r="M98" s="1084">
        <v>2.2380585750000002</v>
      </c>
      <c r="N98" s="1084">
        <v>1.883921132</v>
      </c>
      <c r="O98" s="1084">
        <v>1.4916486900000001</v>
      </c>
      <c r="P98" s="1084">
        <v>1.531231682</v>
      </c>
      <c r="Q98" s="1084">
        <v>1.232159354</v>
      </c>
      <c r="R98" s="1084">
        <v>0.82960616499999995</v>
      </c>
      <c r="S98" s="1084">
        <v>0.819132427</v>
      </c>
      <c r="T98" s="1084">
        <v>0.67385046400000004</v>
      </c>
      <c r="U98" s="1084">
        <v>0.27937863600000001</v>
      </c>
      <c r="V98" s="1089">
        <v>0.28798443200000001</v>
      </c>
    </row>
    <row r="99" spans="3:22">
      <c r="C99" s="399" t="s">
        <v>361</v>
      </c>
      <c r="G99" s="31"/>
      <c r="I99" s="395">
        <v>0.39750069999999998</v>
      </c>
      <c r="J99" s="1084">
        <v>0.387096</v>
      </c>
      <c r="K99" s="1084">
        <v>0.50362706999999995</v>
      </c>
      <c r="L99" s="1084">
        <v>0.40386279899999999</v>
      </c>
      <c r="M99" s="1084">
        <v>0.43601005900000001</v>
      </c>
      <c r="N99" s="1084">
        <v>0.47618795899999999</v>
      </c>
      <c r="O99" s="1084">
        <v>0.52188158200000001</v>
      </c>
      <c r="P99" s="1084">
        <v>0.58834053200000003</v>
      </c>
      <c r="Q99" s="1084">
        <v>0.552209281</v>
      </c>
      <c r="R99" s="1084">
        <v>0.57773586399999999</v>
      </c>
      <c r="S99" s="1084">
        <v>0.642720862</v>
      </c>
      <c r="T99" s="1084">
        <v>0.56447540399999996</v>
      </c>
      <c r="U99" s="1084">
        <v>0.67982630600000005</v>
      </c>
      <c r="V99" s="1089" t="s">
        <v>857</v>
      </c>
    </row>
    <row r="100" spans="3:22">
      <c r="C100" s="399" t="s">
        <v>362</v>
      </c>
      <c r="G100" s="31"/>
      <c r="I100" s="395">
        <v>1.777940705</v>
      </c>
      <c r="J100" s="1084">
        <v>1.6807246870000001</v>
      </c>
      <c r="K100" s="1084">
        <v>1.711434098</v>
      </c>
      <c r="L100" s="1084">
        <v>0.75182930000000003</v>
      </c>
      <c r="M100" s="1084">
        <v>0.82461785399999998</v>
      </c>
      <c r="N100" s="1084">
        <v>0.32828696099999999</v>
      </c>
      <c r="O100" s="1084">
        <v>0.31492668099999999</v>
      </c>
      <c r="P100" s="1084">
        <v>0.22378490300000001</v>
      </c>
      <c r="Q100" s="1084">
        <v>0.19863017099999999</v>
      </c>
      <c r="R100" s="1084">
        <v>0.103690606</v>
      </c>
      <c r="S100" s="1084">
        <v>0.149683596</v>
      </c>
      <c r="T100" s="1084">
        <v>0.247215882</v>
      </c>
      <c r="U100" s="1084">
        <v>9.2565961000000002E-2</v>
      </c>
      <c r="V100" s="1089">
        <v>9.9809848000000007E-2</v>
      </c>
    </row>
    <row r="101" spans="3:22">
      <c r="C101" s="399" t="s">
        <v>363</v>
      </c>
      <c r="G101" s="31"/>
      <c r="I101" s="395">
        <v>3.9699999999999996E-3</v>
      </c>
      <c r="J101" s="1084">
        <v>3.3370000000000001E-3</v>
      </c>
      <c r="K101" s="1084">
        <v>6.5709999999999996E-3</v>
      </c>
      <c r="L101" s="1084">
        <v>1.9419809999999999E-2</v>
      </c>
      <c r="M101" s="1084">
        <v>3.41693E-2</v>
      </c>
      <c r="N101" s="1084">
        <v>2.7300680000000001E-2</v>
      </c>
      <c r="O101" s="1084">
        <v>4.3948085999999997E-2</v>
      </c>
      <c r="P101" s="1084">
        <v>6.4429459999999994E-2</v>
      </c>
      <c r="Q101" s="1084">
        <v>9.6834749999999997E-2</v>
      </c>
      <c r="R101" s="1084">
        <v>0.11110134200000001</v>
      </c>
      <c r="S101" s="1084">
        <v>0.11660002</v>
      </c>
      <c r="T101" s="1084">
        <v>0.17919899</v>
      </c>
      <c r="U101" s="1084">
        <v>0.20102869700000001</v>
      </c>
      <c r="V101" s="1089" t="s">
        <v>857</v>
      </c>
    </row>
    <row r="102" spans="3:22">
      <c r="C102" s="399" t="s">
        <v>364</v>
      </c>
      <c r="G102" s="31"/>
      <c r="I102" s="395">
        <v>1.5590366200000001</v>
      </c>
      <c r="J102" s="1084">
        <v>0.49014716000000003</v>
      </c>
      <c r="K102" s="1084">
        <v>1.5423097100000001</v>
      </c>
      <c r="L102" s="1084">
        <v>0.21098839999999999</v>
      </c>
      <c r="M102" s="1084">
        <v>0.1691397</v>
      </c>
      <c r="N102" s="1084">
        <v>0.22550120000000001</v>
      </c>
      <c r="O102" s="1084">
        <v>0.21571180000000001</v>
      </c>
      <c r="P102" s="1084">
        <v>0.29246729999999999</v>
      </c>
      <c r="Q102" s="1084">
        <v>0.30668319999999999</v>
      </c>
      <c r="R102" s="1084">
        <v>0.42152572999999999</v>
      </c>
      <c r="S102" s="1084">
        <v>0.51952673999999999</v>
      </c>
      <c r="T102" s="1084">
        <v>0.52603038000000002</v>
      </c>
      <c r="U102" s="1084">
        <v>0.45381748700000002</v>
      </c>
      <c r="V102" s="1089">
        <v>0.44483157600000001</v>
      </c>
    </row>
    <row r="103" spans="3:22">
      <c r="C103" s="399" t="s">
        <v>365</v>
      </c>
      <c r="G103" s="31"/>
      <c r="I103" s="395">
        <v>3.142182</v>
      </c>
      <c r="J103" s="1084">
        <v>3.5531605000000002</v>
      </c>
      <c r="K103" s="1084">
        <v>3.3137080000000001</v>
      </c>
      <c r="L103" s="1084">
        <v>4.1350971169999999</v>
      </c>
      <c r="M103" s="1084">
        <v>4.0572576739999997</v>
      </c>
      <c r="N103" s="1084">
        <v>4.2866823370000002</v>
      </c>
      <c r="O103" s="1084">
        <v>4.8289316629999997</v>
      </c>
      <c r="P103" s="1084">
        <v>5.0505360650000002</v>
      </c>
      <c r="Q103" s="1084">
        <v>4.8431329329999997</v>
      </c>
      <c r="R103" s="1084">
        <v>4.7732645070000004</v>
      </c>
      <c r="S103" s="1084">
        <v>5.4045869140000002</v>
      </c>
      <c r="T103" s="1084">
        <v>5.1848040490000002</v>
      </c>
      <c r="U103" s="1084">
        <v>4.984828137</v>
      </c>
      <c r="V103" s="1089">
        <v>6.3413570320000003</v>
      </c>
    </row>
    <row r="104" spans="3:22">
      <c r="C104" s="399" t="s">
        <v>366</v>
      </c>
      <c r="G104" s="31"/>
      <c r="I104" s="395">
        <v>5.548197461</v>
      </c>
      <c r="J104" s="1084">
        <v>6.5066298470000001</v>
      </c>
      <c r="K104" s="1084">
        <v>7.6423636080000001</v>
      </c>
      <c r="L104" s="1084">
        <v>8.7967453629999994</v>
      </c>
      <c r="M104" s="1084">
        <v>10.55128165</v>
      </c>
      <c r="N104" s="1084">
        <v>12.531550920000001</v>
      </c>
      <c r="O104" s="1084">
        <v>13.53342582</v>
      </c>
      <c r="P104" s="1084">
        <v>13.72804751</v>
      </c>
      <c r="Q104" s="1084">
        <v>14.794510450000001</v>
      </c>
      <c r="R104" s="1084">
        <v>14.678442499999999</v>
      </c>
      <c r="S104" s="1084">
        <v>17.707800979999998</v>
      </c>
      <c r="T104" s="1084">
        <v>17.178864050000001</v>
      </c>
      <c r="U104" s="1084">
        <v>17.032924319999999</v>
      </c>
      <c r="V104" s="1089">
        <v>17.67615696</v>
      </c>
    </row>
    <row r="105" spans="3:22">
      <c r="C105" s="399" t="s">
        <v>367</v>
      </c>
      <c r="G105" s="31"/>
      <c r="I105" s="395">
        <v>27.133885679999999</v>
      </c>
      <c r="J105" s="1084">
        <v>29.825767519999999</v>
      </c>
      <c r="K105" s="1084">
        <v>31.864433219999999</v>
      </c>
      <c r="L105" s="1084">
        <v>27.502889759999999</v>
      </c>
      <c r="M105" s="1084">
        <v>30.068740200000001</v>
      </c>
      <c r="N105" s="1084">
        <v>32.375019029999997</v>
      </c>
      <c r="O105" s="1084">
        <v>33.283445839999999</v>
      </c>
      <c r="P105" s="1084">
        <v>34.024689889999998</v>
      </c>
      <c r="Q105" s="1084">
        <v>34.058200650000003</v>
      </c>
      <c r="R105" s="1084">
        <v>33.486932879999998</v>
      </c>
      <c r="S105" s="1084">
        <v>39.162551379999996</v>
      </c>
      <c r="T105" s="1084">
        <v>35.127858459999999</v>
      </c>
      <c r="U105" s="1084">
        <v>35.177869080000001</v>
      </c>
      <c r="V105" s="1089">
        <v>36.627914029999999</v>
      </c>
    </row>
    <row r="106" spans="3:22">
      <c r="C106" s="399" t="s">
        <v>368</v>
      </c>
      <c r="G106" s="31"/>
      <c r="I106" s="395">
        <v>20.375271999999999</v>
      </c>
      <c r="J106" s="1084">
        <v>22.197682</v>
      </c>
      <c r="K106" s="1084">
        <v>23.528315150000001</v>
      </c>
      <c r="L106" s="1084">
        <v>20.214845360000002</v>
      </c>
      <c r="M106" s="1084">
        <v>22.20505434</v>
      </c>
      <c r="N106" s="1084">
        <v>24.23612262</v>
      </c>
      <c r="O106" s="1084">
        <v>24.939787679999998</v>
      </c>
      <c r="P106" s="1084">
        <v>25.197314630000001</v>
      </c>
      <c r="Q106" s="1084">
        <v>25.415002390000001</v>
      </c>
      <c r="R106" s="1084">
        <v>25.191082040000001</v>
      </c>
      <c r="S106" s="1084">
        <v>29.554438680000001</v>
      </c>
      <c r="T106" s="1084">
        <v>26.104212610000001</v>
      </c>
      <c r="U106" s="1084">
        <v>26.084333640000001</v>
      </c>
      <c r="V106" s="1089">
        <v>28.32631228</v>
      </c>
    </row>
    <row r="107" spans="3:22">
      <c r="C107" s="394" t="s">
        <v>364</v>
      </c>
      <c r="D107" s="92"/>
      <c r="E107" s="92"/>
      <c r="F107" s="92"/>
      <c r="G107" s="33"/>
      <c r="I107" s="396">
        <v>1.9605073200000001</v>
      </c>
      <c r="J107" s="397">
        <v>0.88058015999999995</v>
      </c>
      <c r="K107" s="397">
        <v>2.05250778</v>
      </c>
      <c r="L107" s="397">
        <v>0.634271009</v>
      </c>
      <c r="M107" s="397">
        <v>0.63931905899999997</v>
      </c>
      <c r="N107" s="397">
        <v>0.72898984</v>
      </c>
      <c r="O107" s="397">
        <v>0.78154146800000002</v>
      </c>
      <c r="P107" s="397">
        <v>0.94523729199999995</v>
      </c>
      <c r="Q107" s="397">
        <v>0.95572723100000001</v>
      </c>
      <c r="R107" s="397">
        <v>1.1103629370000001</v>
      </c>
      <c r="S107" s="397">
        <v>1.278847622</v>
      </c>
      <c r="T107" s="397">
        <v>1.269704774</v>
      </c>
      <c r="U107" s="397">
        <v>1.33467249</v>
      </c>
      <c r="V107" s="33" t="s">
        <v>857</v>
      </c>
    </row>
    <row r="109" spans="3:22">
      <c r="C109" s="15" t="s">
        <v>369</v>
      </c>
    </row>
    <row r="110" spans="3:22">
      <c r="C110" s="400"/>
      <c r="D110" s="63"/>
      <c r="E110" s="63"/>
      <c r="F110" s="63"/>
      <c r="G110" s="64"/>
      <c r="I110" s="391">
        <v>2011</v>
      </c>
      <c r="J110" s="392">
        <v>2012</v>
      </c>
      <c r="K110" s="392">
        <v>2013</v>
      </c>
      <c r="L110" s="392">
        <v>2014</v>
      </c>
      <c r="M110" s="392">
        <v>2015</v>
      </c>
      <c r="N110" s="392">
        <v>2016</v>
      </c>
      <c r="O110" s="392">
        <v>2017</v>
      </c>
      <c r="P110" s="392">
        <v>2018</v>
      </c>
      <c r="Q110" s="392">
        <v>2019</v>
      </c>
      <c r="R110" s="392">
        <v>2020</v>
      </c>
      <c r="S110" s="392">
        <v>2021</v>
      </c>
      <c r="T110" s="392">
        <v>2022</v>
      </c>
      <c r="U110" s="392">
        <v>2023</v>
      </c>
      <c r="V110" s="1090">
        <v>2024</v>
      </c>
    </row>
    <row r="111" spans="3:22">
      <c r="C111" s="398" t="s">
        <v>366</v>
      </c>
      <c r="D111" s="70"/>
      <c r="E111" s="70"/>
      <c r="F111" s="70"/>
      <c r="G111" s="29"/>
      <c r="I111" s="357">
        <f>I104/I105</f>
        <v>0.20447485945920002</v>
      </c>
      <c r="J111" s="331">
        <f t="shared" ref="J111:V111" si="1">J104/J105</f>
        <v>0.21815464908445045</v>
      </c>
      <c r="K111" s="331">
        <f t="shared" si="1"/>
        <v>0.23983993549281779</v>
      </c>
      <c r="L111" s="331">
        <f t="shared" si="1"/>
        <v>0.31984803923382338</v>
      </c>
      <c r="M111" s="331">
        <f t="shared" si="1"/>
        <v>0.3509053448803951</v>
      </c>
      <c r="N111" s="331">
        <f t="shared" si="1"/>
        <v>0.38707470436967961</v>
      </c>
      <c r="O111" s="331">
        <f t="shared" si="1"/>
        <v>0.40661131918425186</v>
      </c>
      <c r="P111" s="331">
        <f t="shared" si="1"/>
        <v>0.40347311186030038</v>
      </c>
      <c r="Q111" s="331">
        <f t="shared" si="1"/>
        <v>0.43438908009369542</v>
      </c>
      <c r="R111" s="331">
        <f t="shared" si="1"/>
        <v>0.43833344046765982</v>
      </c>
      <c r="S111" s="331">
        <f t="shared" si="1"/>
        <v>0.4521615767108379</v>
      </c>
      <c r="T111" s="331">
        <f t="shared" si="1"/>
        <v>0.48903818231793234</v>
      </c>
      <c r="U111" s="331">
        <f t="shared" si="1"/>
        <v>0.48419431777588501</v>
      </c>
      <c r="V111" s="289">
        <f t="shared" si="1"/>
        <v>0.4825870494705865</v>
      </c>
    </row>
    <row r="112" spans="3:22">
      <c r="C112" s="71" t="s">
        <v>370</v>
      </c>
      <c r="G112" s="31"/>
      <c r="I112" s="114">
        <f>I103/I105</f>
        <v>0.11580287604425406</v>
      </c>
      <c r="J112" s="115">
        <f t="shared" ref="J112:V112" si="2">J103/J105</f>
        <v>0.11913056378573959</v>
      </c>
      <c r="K112" s="115">
        <f t="shared" si="2"/>
        <v>0.10399394136783582</v>
      </c>
      <c r="L112" s="115">
        <f t="shared" si="2"/>
        <v>0.15035136864105295</v>
      </c>
      <c r="M112" s="115">
        <f t="shared" si="2"/>
        <v>0.13493274566920499</v>
      </c>
      <c r="N112" s="115">
        <f t="shared" si="2"/>
        <v>0.13240709860364214</v>
      </c>
      <c r="O112" s="115">
        <f t="shared" si="2"/>
        <v>0.14508508783055737</v>
      </c>
      <c r="P112" s="115">
        <f t="shared" si="2"/>
        <v>0.148437387124706</v>
      </c>
      <c r="Q112" s="115">
        <f t="shared" si="2"/>
        <v>0.14220166775017221</v>
      </c>
      <c r="R112" s="115">
        <f t="shared" si="2"/>
        <v>0.14254110772416612</v>
      </c>
      <c r="S112" s="115">
        <f t="shared" si="2"/>
        <v>0.13800395335734125</v>
      </c>
      <c r="T112" s="115">
        <f t="shared" si="2"/>
        <v>0.14759806820856794</v>
      </c>
      <c r="U112" s="115">
        <f t="shared" si="2"/>
        <v>0.141703527455393</v>
      </c>
      <c r="V112" s="116">
        <f t="shared" si="2"/>
        <v>0.17312907928106766</v>
      </c>
    </row>
    <row r="113" spans="1:22">
      <c r="C113" s="91" t="s">
        <v>371</v>
      </c>
      <c r="D113" s="92"/>
      <c r="E113" s="92"/>
      <c r="F113" s="92"/>
      <c r="G113" s="33"/>
      <c r="I113" s="358">
        <f>I111+I112</f>
        <v>0.32027773550345406</v>
      </c>
      <c r="J113" s="329">
        <f t="shared" ref="J113:V113" si="3">J111+J112</f>
        <v>0.33728521287019003</v>
      </c>
      <c r="K113" s="329">
        <f t="shared" si="3"/>
        <v>0.34383387686065359</v>
      </c>
      <c r="L113" s="329">
        <f t="shared" si="3"/>
        <v>0.47019940787487635</v>
      </c>
      <c r="M113" s="329">
        <f t="shared" si="3"/>
        <v>0.48583809054960009</v>
      </c>
      <c r="N113" s="329">
        <f t="shared" si="3"/>
        <v>0.51948180297332169</v>
      </c>
      <c r="O113" s="329">
        <f t="shared" si="3"/>
        <v>0.55169640701480926</v>
      </c>
      <c r="P113" s="329">
        <f t="shared" si="3"/>
        <v>0.55191049898500633</v>
      </c>
      <c r="Q113" s="329">
        <f t="shared" si="3"/>
        <v>0.57659074784386766</v>
      </c>
      <c r="R113" s="329">
        <f t="shared" si="3"/>
        <v>0.58087454819182593</v>
      </c>
      <c r="S113" s="329">
        <f t="shared" si="3"/>
        <v>0.59016553006817918</v>
      </c>
      <c r="T113" s="329">
        <f t="shared" si="3"/>
        <v>0.6366362505265003</v>
      </c>
      <c r="U113" s="329">
        <f t="shared" si="3"/>
        <v>0.625897845231278</v>
      </c>
      <c r="V113" s="330">
        <f t="shared" si="3"/>
        <v>0.65571612875165419</v>
      </c>
    </row>
    <row r="116" spans="1:22">
      <c r="C116" s="200" t="s">
        <v>372</v>
      </c>
    </row>
    <row r="118" spans="1:22">
      <c r="C118" t="s">
        <v>373</v>
      </c>
    </row>
    <row r="119" spans="1:22">
      <c r="C119" t="s">
        <v>374</v>
      </c>
    </row>
    <row r="121" spans="1:22">
      <c r="A121" s="120" t="s">
        <v>375</v>
      </c>
    </row>
    <row r="122" spans="1:22">
      <c r="D122" s="198" t="s">
        <v>376</v>
      </c>
      <c r="E122" s="500" t="s">
        <v>377</v>
      </c>
      <c r="F122" s="501" t="s">
        <v>377</v>
      </c>
    </row>
    <row r="123" spans="1:22">
      <c r="C123" s="65" t="s">
        <v>264</v>
      </c>
      <c r="D123" s="63" t="s">
        <v>378</v>
      </c>
      <c r="E123" s="63" t="s">
        <v>378</v>
      </c>
      <c r="F123" s="64" t="s">
        <v>313</v>
      </c>
    </row>
    <row r="124" spans="1:22">
      <c r="C124" s="71" t="s">
        <v>50</v>
      </c>
      <c r="D124">
        <v>361.7</v>
      </c>
      <c r="E124">
        <v>279</v>
      </c>
      <c r="F124" s="116">
        <f>E124/$E$130</f>
        <v>0.61684722529294722</v>
      </c>
    </row>
    <row r="125" spans="1:22">
      <c r="C125" s="71" t="s">
        <v>379</v>
      </c>
      <c r="D125">
        <v>74.7</v>
      </c>
      <c r="E125">
        <v>58.9</v>
      </c>
      <c r="F125" s="116">
        <f t="shared" ref="F125:F130" si="4">E125/$E$130</f>
        <v>0.13022330311739996</v>
      </c>
    </row>
    <row r="126" spans="1:22">
      <c r="C126" s="71" t="s">
        <v>380</v>
      </c>
      <c r="D126">
        <v>46.6</v>
      </c>
      <c r="E126">
        <v>50.9</v>
      </c>
      <c r="F126" s="116">
        <f t="shared" si="4"/>
        <v>0.1125359274817599</v>
      </c>
    </row>
    <row r="127" spans="1:22">
      <c r="C127" s="71" t="s">
        <v>381</v>
      </c>
      <c r="D127">
        <v>23.3</v>
      </c>
      <c r="E127">
        <v>21.5</v>
      </c>
      <c r="F127" s="116">
        <f t="shared" si="4"/>
        <v>4.7534822020782672E-2</v>
      </c>
    </row>
    <row r="128" spans="1:22">
      <c r="C128" s="71" t="s">
        <v>382</v>
      </c>
      <c r="D128">
        <v>10.199999999999999</v>
      </c>
      <c r="E128">
        <v>10.4</v>
      </c>
      <c r="F128" s="116">
        <f t="shared" si="4"/>
        <v>2.2993588326332085E-2</v>
      </c>
    </row>
    <row r="129" spans="1:22">
      <c r="C129" s="71" t="s">
        <v>383</v>
      </c>
      <c r="D129">
        <v>19.899999999999999</v>
      </c>
      <c r="E129">
        <v>31.6</v>
      </c>
      <c r="F129" s="116">
        <f t="shared" si="4"/>
        <v>6.9865133760778256E-2</v>
      </c>
    </row>
    <row r="130" spans="1:22">
      <c r="C130" s="62" t="s">
        <v>241</v>
      </c>
      <c r="D130" s="296">
        <f>SUM(D124:D129)</f>
        <v>536.4</v>
      </c>
      <c r="E130" s="296">
        <f>SUM(E124:E129)</f>
        <v>452.29999999999995</v>
      </c>
      <c r="F130" s="502">
        <f t="shared" si="4"/>
        <v>1</v>
      </c>
    </row>
    <row r="131" spans="1:22">
      <c r="C131" s="15"/>
      <c r="D131" s="15"/>
      <c r="E131" s="15"/>
      <c r="F131" s="315"/>
    </row>
    <row r="132" spans="1:22">
      <c r="A132" s="120" t="s">
        <v>375</v>
      </c>
      <c r="C132" s="15" t="s">
        <v>384</v>
      </c>
      <c r="H132" s="15"/>
    </row>
    <row r="133" spans="1:22">
      <c r="A133" s="120"/>
      <c r="C133" s="404" t="s">
        <v>385</v>
      </c>
      <c r="D133" s="63"/>
      <c r="E133" s="63"/>
      <c r="F133" s="63"/>
      <c r="G133" s="64"/>
      <c r="H133" s="343"/>
      <c r="I133" s="344">
        <v>2011</v>
      </c>
      <c r="J133" s="345">
        <v>2012</v>
      </c>
      <c r="K133" s="345">
        <v>2013</v>
      </c>
      <c r="L133" s="345">
        <v>2014</v>
      </c>
      <c r="M133" s="345">
        <v>2015</v>
      </c>
      <c r="N133" s="345">
        <v>2016</v>
      </c>
      <c r="O133" s="345">
        <v>2017</v>
      </c>
      <c r="P133" s="345">
        <v>2018</v>
      </c>
      <c r="Q133" s="345">
        <v>2019</v>
      </c>
      <c r="R133" s="345">
        <v>2020</v>
      </c>
      <c r="S133" s="345">
        <v>2021</v>
      </c>
      <c r="T133" s="345">
        <v>2022</v>
      </c>
      <c r="U133" s="346">
        <v>2023</v>
      </c>
      <c r="V133" s="471"/>
    </row>
    <row r="134" spans="1:22">
      <c r="C134" s="402" t="s">
        <v>380</v>
      </c>
      <c r="D134" s="343"/>
      <c r="E134" s="343"/>
      <c r="F134" s="343"/>
      <c r="G134" s="401"/>
      <c r="H134" s="343"/>
      <c r="I134" s="30">
        <v>2.225724397257244</v>
      </c>
      <c r="J134" s="158">
        <v>2.7570861416305061</v>
      </c>
      <c r="K134" s="158">
        <v>2.896123242379101</v>
      </c>
      <c r="L134" s="158">
        <v>3.1561493999516541</v>
      </c>
      <c r="M134" s="158">
        <v>3.8752904023568719</v>
      </c>
      <c r="N134" s="158">
        <v>3.9476080163965319</v>
      </c>
      <c r="O134" s="158">
        <v>4.5390885220238886</v>
      </c>
      <c r="P134" s="158">
        <v>5.130463642639298</v>
      </c>
      <c r="Q134" s="158">
        <v>6.300481265272623</v>
      </c>
      <c r="R134" s="158">
        <v>7.9408389730248938</v>
      </c>
      <c r="S134" s="158">
        <v>7.0651189549953104</v>
      </c>
      <c r="T134" s="158">
        <v>8.7239781887114152</v>
      </c>
      <c r="U134" s="51">
        <v>10.30825735742793</v>
      </c>
    </row>
    <row r="135" spans="1:22">
      <c r="C135" s="402" t="s">
        <v>379</v>
      </c>
      <c r="G135" s="31"/>
      <c r="H135" s="343"/>
      <c r="I135" s="30">
        <v>9.2652805426528051</v>
      </c>
      <c r="J135" s="158">
        <v>11.778044501892721</v>
      </c>
      <c r="K135" s="158">
        <v>13.709988010027979</v>
      </c>
      <c r="L135" s="158">
        <v>12.5341446572082</v>
      </c>
      <c r="M135" s="158">
        <v>10.7839628335689</v>
      </c>
      <c r="N135" s="158">
        <v>11.99269022370901</v>
      </c>
      <c r="O135" s="158">
        <v>10.066867426034939</v>
      </c>
      <c r="P135" s="158">
        <v>12.38883046697226</v>
      </c>
      <c r="Q135" s="158">
        <v>11.11910280493947</v>
      </c>
      <c r="R135" s="158">
        <v>12.99321127051148</v>
      </c>
      <c r="S135" s="158">
        <v>11.86392944543349</v>
      </c>
      <c r="T135" s="158">
        <v>11.130568838164031</v>
      </c>
      <c r="U135" s="51">
        <v>11.92206994915014</v>
      </c>
    </row>
    <row r="136" spans="1:22">
      <c r="C136" s="402" t="s">
        <v>50</v>
      </c>
      <c r="G136" s="31"/>
      <c r="H136" s="343"/>
      <c r="I136" s="30">
        <v>77.622576126225766</v>
      </c>
      <c r="J136" s="158">
        <v>74.76354907210785</v>
      </c>
      <c r="K136" s="158">
        <v>73.349017185626565</v>
      </c>
      <c r="L136" s="158">
        <v>77.321400583871039</v>
      </c>
      <c r="M136" s="158">
        <v>76.501374663631879</v>
      </c>
      <c r="N136" s="158">
        <v>72.366312514134947</v>
      </c>
      <c r="O136" s="158">
        <v>71.756995424861344</v>
      </c>
      <c r="P136" s="158">
        <v>71.807169797468816</v>
      </c>
      <c r="Q136" s="158">
        <v>70.783284806655601</v>
      </c>
      <c r="R136" s="158">
        <v>67.120378726086599</v>
      </c>
      <c r="S136" s="158">
        <v>69.046965701870249</v>
      </c>
      <c r="T136" s="158">
        <v>62.580332903356059</v>
      </c>
      <c r="U136" s="51">
        <v>64.910355120439206</v>
      </c>
    </row>
    <row r="137" spans="1:22">
      <c r="C137" s="402" t="s">
        <v>381</v>
      </c>
      <c r="G137" s="31"/>
      <c r="H137" s="343"/>
      <c r="I137" s="30">
        <v>0.38099977880999791</v>
      </c>
      <c r="J137" s="158">
        <v>0.75154648693564774</v>
      </c>
      <c r="K137" s="158">
        <v>0.84692802383461097</v>
      </c>
      <c r="L137" s="158">
        <v>1.1038012904665391</v>
      </c>
      <c r="M137" s="158">
        <v>1.363945223664164</v>
      </c>
      <c r="N137" s="158">
        <v>1.5844416451187331</v>
      </c>
      <c r="O137" s="158">
        <v>1.731743483881959</v>
      </c>
      <c r="P137" s="158">
        <v>1.907609872892964</v>
      </c>
      <c r="Q137" s="158">
        <v>2.2394312376653169</v>
      </c>
      <c r="R137" s="158">
        <v>2.532336316137036</v>
      </c>
      <c r="S137" s="158">
        <v>2.7224214177147341</v>
      </c>
      <c r="T137" s="158">
        <v>4.1559247945082562</v>
      </c>
      <c r="U137" s="51">
        <v>4.3487950128644073</v>
      </c>
    </row>
    <row r="138" spans="1:22">
      <c r="C138" s="402" t="s">
        <v>383</v>
      </c>
      <c r="G138" s="31"/>
      <c r="H138" s="343"/>
      <c r="I138" s="30">
        <v>9.4934748949347494</v>
      </c>
      <c r="J138" s="158">
        <v>8.8820976825777862</v>
      </c>
      <c r="K138" s="158">
        <v>7.9159248628419858</v>
      </c>
      <c r="L138" s="158">
        <v>4.5680492392941492</v>
      </c>
      <c r="M138" s="158">
        <v>6.0584409853337986</v>
      </c>
      <c r="N138" s="158">
        <v>8.4831304604221636</v>
      </c>
      <c r="O138" s="158">
        <v>10.1337632641163</v>
      </c>
      <c r="P138" s="158">
        <v>7.0189256467666246</v>
      </c>
      <c r="Q138" s="158">
        <v>7.7756955509336114</v>
      </c>
      <c r="R138" s="158">
        <v>7.4714865460657984</v>
      </c>
      <c r="S138" s="158">
        <v>7.384162935163384</v>
      </c>
      <c r="T138" s="158">
        <v>11.028589064070349</v>
      </c>
      <c r="U138" s="51">
        <v>6.398400547800895</v>
      </c>
    </row>
    <row r="139" spans="1:22">
      <c r="C139" s="403" t="s">
        <v>382</v>
      </c>
      <c r="D139" s="92"/>
      <c r="E139" s="92"/>
      <c r="F139" s="92"/>
      <c r="G139" s="33"/>
      <c r="H139" s="343"/>
      <c r="I139" s="341">
        <v>1.006967485069675</v>
      </c>
      <c r="J139" s="32">
        <v>1.065090942664574</v>
      </c>
      <c r="K139" s="32">
        <v>1.2791120154052971</v>
      </c>
      <c r="L139" s="32">
        <v>1.3191941666821621</v>
      </c>
      <c r="M139" s="32">
        <v>1.417792796857505</v>
      </c>
      <c r="N139" s="32">
        <v>1.624440008857897</v>
      </c>
      <c r="O139" s="32">
        <v>1.765001991330519</v>
      </c>
      <c r="P139" s="32">
        <v>1.731422448454079</v>
      </c>
      <c r="Q139" s="32">
        <v>1.7691737952582589</v>
      </c>
      <c r="R139" s="32">
        <v>1.9235131085407831</v>
      </c>
      <c r="S139" s="32">
        <v>1.907063088879956</v>
      </c>
      <c r="T139" s="32">
        <v>2.3660929455312281</v>
      </c>
      <c r="U139" s="305">
        <v>2.100495519539717</v>
      </c>
    </row>
    <row r="140" spans="1:22">
      <c r="C140" s="343"/>
    </row>
    <row r="141" spans="1:22" ht="13.5" customHeight="1">
      <c r="C141" t="s">
        <v>386</v>
      </c>
    </row>
    <row r="142" spans="1:22">
      <c r="C142" t="s">
        <v>387</v>
      </c>
    </row>
    <row r="144" spans="1:22">
      <c r="C144" s="465"/>
      <c r="D144" s="96"/>
      <c r="E144" s="96"/>
      <c r="F144" s="96"/>
      <c r="G144" s="96"/>
    </row>
    <row r="145" spans="3:21">
      <c r="C145" s="465"/>
      <c r="D145" s="96"/>
      <c r="E145" s="96"/>
      <c r="F145" s="96"/>
      <c r="G145" s="96"/>
    </row>
    <row r="146" spans="3:21">
      <c r="C146" s="474" t="s">
        <v>336</v>
      </c>
      <c r="D146" s="475"/>
      <c r="E146" s="475"/>
      <c r="F146" s="475"/>
      <c r="G146" s="476"/>
      <c r="I146" s="391">
        <v>2011</v>
      </c>
      <c r="J146" s="392">
        <v>2012</v>
      </c>
      <c r="K146" s="392">
        <v>2013</v>
      </c>
      <c r="L146" s="392">
        <v>2014</v>
      </c>
      <c r="M146" s="392">
        <v>2015</v>
      </c>
      <c r="N146" s="392">
        <v>2016</v>
      </c>
      <c r="O146" s="392">
        <v>2017</v>
      </c>
      <c r="P146" s="392">
        <v>2018</v>
      </c>
      <c r="Q146" s="392">
        <v>2019</v>
      </c>
      <c r="R146" s="392">
        <v>2020</v>
      </c>
      <c r="S146" s="392">
        <v>2021</v>
      </c>
      <c r="T146" s="392">
        <v>2022</v>
      </c>
      <c r="U146" s="393">
        <v>2023</v>
      </c>
    </row>
    <row r="147" spans="3:21">
      <c r="C147" s="389" t="s">
        <v>337</v>
      </c>
      <c r="D147" s="96"/>
      <c r="E147" s="96"/>
      <c r="F147" s="96"/>
      <c r="G147" s="189"/>
      <c r="I147" s="474"/>
      <c r="J147" s="489"/>
      <c r="K147" s="489"/>
      <c r="L147" s="489"/>
      <c r="M147" s="489"/>
      <c r="N147" s="489"/>
      <c r="O147" s="489"/>
      <c r="P147" s="489"/>
      <c r="Q147" s="489"/>
      <c r="R147" s="489"/>
      <c r="S147" s="489"/>
      <c r="T147" s="489"/>
      <c r="U147" s="490"/>
    </row>
    <row r="148" spans="3:21">
      <c r="C148" s="477" t="s">
        <v>340</v>
      </c>
      <c r="D148" s="96"/>
      <c r="E148" s="96"/>
      <c r="F148" s="96"/>
      <c r="G148" s="189"/>
      <c r="I148" s="491">
        <f>I38</f>
        <v>0</v>
      </c>
      <c r="J148" s="481">
        <f t="shared" ref="J148:U148" si="5">J38</f>
        <v>362157612.27888131</v>
      </c>
      <c r="K148" s="481">
        <f t="shared" si="5"/>
        <v>377799232.95823407</v>
      </c>
      <c r="L148" s="481">
        <f t="shared" si="5"/>
        <v>402311573.9359495</v>
      </c>
      <c r="M148" s="481">
        <f t="shared" si="5"/>
        <v>435529186.25542331</v>
      </c>
      <c r="N148" s="481">
        <f t="shared" si="5"/>
        <v>414217753.18389893</v>
      </c>
      <c r="O148" s="481">
        <f t="shared" si="5"/>
        <v>405015007.52810997</v>
      </c>
      <c r="P148" s="481">
        <f t="shared" si="5"/>
        <v>401366460.60793686</v>
      </c>
      <c r="Q148" s="481">
        <f t="shared" si="5"/>
        <v>378987035.61786133</v>
      </c>
      <c r="R148" s="481">
        <f t="shared" si="5"/>
        <v>389950766.00722522</v>
      </c>
      <c r="S148" s="481">
        <f t="shared" si="5"/>
        <v>381287341.78359973</v>
      </c>
      <c r="T148" s="481">
        <f t="shared" si="5"/>
        <v>413749851.23992187</v>
      </c>
      <c r="U148" s="482">
        <f t="shared" si="5"/>
        <v>438007432.63606697</v>
      </c>
    </row>
    <row r="149" spans="3:21">
      <c r="C149" s="389" t="s">
        <v>345</v>
      </c>
      <c r="D149" s="96"/>
      <c r="E149" s="96"/>
      <c r="F149" s="96"/>
      <c r="G149" s="189"/>
      <c r="I149" s="389"/>
      <c r="J149" s="465"/>
      <c r="K149" s="465"/>
      <c r="L149" s="465"/>
      <c r="M149" s="465"/>
      <c r="N149" s="465"/>
      <c r="O149" s="465"/>
      <c r="P149" s="465"/>
      <c r="Q149" s="483"/>
      <c r="R149" s="483"/>
      <c r="S149" s="483"/>
      <c r="T149" s="483"/>
      <c r="U149" s="484"/>
    </row>
    <row r="150" spans="3:21">
      <c r="C150" s="477" t="s">
        <v>340</v>
      </c>
      <c r="D150" s="96"/>
      <c r="E150" s="96"/>
      <c r="F150" s="96"/>
      <c r="G150" s="189"/>
      <c r="I150" s="492">
        <f>I47</f>
        <v>0</v>
      </c>
      <c r="J150" s="485">
        <f t="shared" ref="J150:U150" si="6">J47</f>
        <v>48423335.210000001</v>
      </c>
      <c r="K150" s="485">
        <f t="shared" si="6"/>
        <v>52643210.720000006</v>
      </c>
      <c r="L150" s="485">
        <f t="shared" si="6"/>
        <v>63819412.750000022</v>
      </c>
      <c r="M150" s="485">
        <f t="shared" si="6"/>
        <v>73741500.519999996</v>
      </c>
      <c r="N150" s="485">
        <f>N47</f>
        <v>82948193.309999987</v>
      </c>
      <c r="O150" s="485">
        <f t="shared" si="6"/>
        <v>97316885.079999968</v>
      </c>
      <c r="P150" s="485">
        <f t="shared" si="6"/>
        <v>98971743.539999977</v>
      </c>
      <c r="Q150" s="485">
        <f t="shared" si="6"/>
        <v>106112430.44000004</v>
      </c>
      <c r="R150" s="485">
        <f t="shared" si="6"/>
        <v>106818871.34999999</v>
      </c>
      <c r="S150" s="485">
        <f t="shared" si="6"/>
        <v>104166672.09</v>
      </c>
      <c r="T150" s="485">
        <f t="shared" si="6"/>
        <v>127269163.08000001</v>
      </c>
      <c r="U150" s="486">
        <f t="shared" si="6"/>
        <v>130810741.59999999</v>
      </c>
    </row>
    <row r="151" spans="3:21">
      <c r="C151" s="389" t="s">
        <v>346</v>
      </c>
      <c r="D151" s="96"/>
      <c r="E151" s="96"/>
      <c r="F151" s="96"/>
      <c r="G151" s="189"/>
      <c r="I151" s="187"/>
      <c r="J151" s="96"/>
      <c r="K151" s="96"/>
      <c r="L151" s="96"/>
      <c r="M151" s="96"/>
      <c r="N151" s="96"/>
      <c r="O151" s="96"/>
      <c r="P151" s="465"/>
      <c r="Q151" s="483"/>
      <c r="R151" s="483"/>
      <c r="S151" s="483"/>
      <c r="T151" s="483"/>
      <c r="U151" s="484"/>
    </row>
    <row r="152" spans="3:21">
      <c r="C152" s="477" t="s">
        <v>340</v>
      </c>
      <c r="D152" s="96"/>
      <c r="E152" s="96"/>
      <c r="F152" s="96"/>
      <c r="G152" s="189"/>
      <c r="I152" s="492">
        <f>I56</f>
        <v>0</v>
      </c>
      <c r="J152" s="485">
        <f t="shared" ref="J152:U152" si="7">J56</f>
        <v>11275209.83</v>
      </c>
      <c r="K152" s="485">
        <f t="shared" si="7"/>
        <v>13540123.929999998</v>
      </c>
      <c r="L152" s="485">
        <f t="shared" si="7"/>
        <v>17792304.59</v>
      </c>
      <c r="M152" s="485">
        <f t="shared" si="7"/>
        <v>19380099.349999998</v>
      </c>
      <c r="N152" s="485">
        <f t="shared" si="7"/>
        <v>22058054.73</v>
      </c>
      <c r="O152" s="485">
        <f t="shared" si="7"/>
        <v>21406548.91</v>
      </c>
      <c r="P152" s="485">
        <f t="shared" si="7"/>
        <v>23467720.690000001</v>
      </c>
      <c r="Q152" s="485">
        <f t="shared" si="7"/>
        <v>22784707.850000001</v>
      </c>
      <c r="R152" s="485">
        <f t="shared" si="7"/>
        <v>20251375.41</v>
      </c>
      <c r="S152" s="485">
        <f t="shared" si="7"/>
        <v>20346587.300000001</v>
      </c>
      <c r="T152" s="485">
        <f t="shared" si="7"/>
        <v>22693889.170000002</v>
      </c>
      <c r="U152" s="486">
        <f t="shared" si="7"/>
        <v>21767432.010000002</v>
      </c>
    </row>
    <row r="153" spans="3:21">
      <c r="C153" s="389" t="s">
        <v>325</v>
      </c>
      <c r="D153" s="96"/>
      <c r="E153" s="96"/>
      <c r="F153" s="96"/>
      <c r="G153" s="189"/>
      <c r="I153" s="187"/>
      <c r="J153" s="96"/>
      <c r="K153" s="96"/>
      <c r="L153" s="96"/>
      <c r="M153" s="96"/>
      <c r="N153" s="96"/>
      <c r="O153" s="96"/>
      <c r="P153" s="465"/>
      <c r="Q153" s="483"/>
      <c r="R153" s="483"/>
      <c r="S153" s="483"/>
      <c r="T153" s="483"/>
      <c r="U153" s="484"/>
    </row>
    <row r="154" spans="3:21">
      <c r="C154" s="477" t="s">
        <v>340</v>
      </c>
      <c r="D154" s="96"/>
      <c r="E154" s="96"/>
      <c r="F154" s="96"/>
      <c r="G154" s="189"/>
      <c r="I154" s="187">
        <f>I65</f>
        <v>0</v>
      </c>
      <c r="J154" s="96">
        <f t="shared" ref="J154:U154" si="8">J65</f>
        <v>0</v>
      </c>
      <c r="K154" s="96">
        <f t="shared" si="8"/>
        <v>0</v>
      </c>
      <c r="L154" s="96">
        <f t="shared" si="8"/>
        <v>0</v>
      </c>
      <c r="M154" s="96">
        <f t="shared" si="8"/>
        <v>0</v>
      </c>
      <c r="N154" s="96">
        <f t="shared" si="8"/>
        <v>0</v>
      </c>
      <c r="O154" s="96">
        <f t="shared" si="8"/>
        <v>0</v>
      </c>
      <c r="P154" s="96">
        <f t="shared" si="8"/>
        <v>0</v>
      </c>
      <c r="Q154" s="96">
        <f t="shared" si="8"/>
        <v>0</v>
      </c>
      <c r="R154" s="96">
        <f t="shared" si="8"/>
        <v>0</v>
      </c>
      <c r="S154" s="96">
        <f t="shared" si="8"/>
        <v>0</v>
      </c>
      <c r="T154" s="96">
        <f t="shared" si="8"/>
        <v>0</v>
      </c>
      <c r="U154" s="189">
        <f t="shared" si="8"/>
        <v>0</v>
      </c>
    </row>
    <row r="155" spans="3:21">
      <c r="C155" s="389" t="s">
        <v>326</v>
      </c>
      <c r="D155" s="96"/>
      <c r="E155" s="96"/>
      <c r="F155" s="96"/>
      <c r="G155" s="189"/>
      <c r="I155" s="187"/>
      <c r="J155" s="96"/>
      <c r="K155" s="96"/>
      <c r="L155" s="96"/>
      <c r="M155" s="96"/>
      <c r="N155" s="96"/>
      <c r="O155" s="96"/>
      <c r="P155" s="465"/>
      <c r="Q155" s="483"/>
      <c r="R155" s="483"/>
      <c r="S155" s="483"/>
      <c r="T155" s="483"/>
      <c r="U155" s="484"/>
    </row>
    <row r="156" spans="3:21">
      <c r="C156" s="494" t="s">
        <v>340</v>
      </c>
      <c r="D156" s="96"/>
      <c r="E156" s="96"/>
      <c r="F156" s="96"/>
      <c r="G156" s="189"/>
      <c r="I156" s="187">
        <f>I74</f>
        <v>0</v>
      </c>
      <c r="J156" s="96">
        <f t="shared" ref="J156:U156" si="9">J74</f>
        <v>0</v>
      </c>
      <c r="K156" s="96">
        <f t="shared" si="9"/>
        <v>0</v>
      </c>
      <c r="L156" s="96">
        <f t="shared" si="9"/>
        <v>0</v>
      </c>
      <c r="M156" s="96">
        <f t="shared" si="9"/>
        <v>0</v>
      </c>
      <c r="N156" s="96">
        <f t="shared" si="9"/>
        <v>0</v>
      </c>
      <c r="O156" s="96">
        <f t="shared" si="9"/>
        <v>0</v>
      </c>
      <c r="P156" s="96">
        <f t="shared" si="9"/>
        <v>0</v>
      </c>
      <c r="Q156" s="96">
        <f t="shared" si="9"/>
        <v>0</v>
      </c>
      <c r="R156" s="96">
        <f t="shared" si="9"/>
        <v>0</v>
      </c>
      <c r="S156" s="96">
        <f t="shared" si="9"/>
        <v>0</v>
      </c>
      <c r="T156" s="96">
        <f t="shared" si="9"/>
        <v>0</v>
      </c>
      <c r="U156" s="189">
        <f t="shared" si="9"/>
        <v>0</v>
      </c>
    </row>
    <row r="157" spans="3:21">
      <c r="C157" s="443" t="s">
        <v>388</v>
      </c>
      <c r="D157" s="478"/>
      <c r="E157" s="478"/>
      <c r="F157" s="478"/>
      <c r="G157" s="479"/>
      <c r="I157" s="493">
        <f t="shared" ref="I157:P157" si="10">(I148+I150+I152)*I138%</f>
        <v>0</v>
      </c>
      <c r="J157" s="487">
        <f t="shared" si="10"/>
        <v>37469675.97303205</v>
      </c>
      <c r="K157" s="487">
        <f t="shared" si="10"/>
        <v>35145326.455984436</v>
      </c>
      <c r="L157" s="487">
        <f t="shared" si="10"/>
        <v>22105854.225898221</v>
      </c>
      <c r="M157" s="487">
        <f t="shared" si="10"/>
        <v>32027995.895911969</v>
      </c>
      <c r="N157" s="487">
        <f t="shared" si="10"/>
        <v>44046449.405647323</v>
      </c>
      <c r="O157" s="487">
        <f t="shared" si="10"/>
        <v>53074413.786617465</v>
      </c>
      <c r="P157" s="487">
        <f t="shared" si="10"/>
        <v>36765548.397733055</v>
      </c>
      <c r="Q157" s="487">
        <f>(Q148+Q150+Q152)*Q138%</f>
        <v>39491527.114449508</v>
      </c>
      <c r="R157" s="487">
        <f>(R148+R150+R152)*R138%</f>
        <v>38629155.409236372</v>
      </c>
      <c r="S157" s="487">
        <f>(S148+S150+S152)*S138%</f>
        <v>37349140.517694525</v>
      </c>
      <c r="T157" s="487">
        <f>(T148+T150+T152)*T138%</f>
        <v>62169579.627042957</v>
      </c>
      <c r="U157" s="488">
        <f>(U148+U150+U152)*U138%</f>
        <v>37788032.665281579</v>
      </c>
    </row>
    <row r="160" spans="3:21">
      <c r="C160" s="200" t="s">
        <v>389</v>
      </c>
    </row>
    <row r="161" spans="1:22">
      <c r="C161" s="448"/>
    </row>
    <row r="162" spans="1:22" ht="17.149999999999999" customHeight="1">
      <c r="C162" s="405" t="s">
        <v>390</v>
      </c>
      <c r="I162" s="391">
        <v>2011</v>
      </c>
      <c r="J162" s="392">
        <v>2012</v>
      </c>
      <c r="K162" s="392">
        <v>2013</v>
      </c>
      <c r="L162" s="392">
        <v>2014</v>
      </c>
      <c r="M162" s="392">
        <v>2015</v>
      </c>
      <c r="N162" s="392">
        <v>2016</v>
      </c>
      <c r="O162" s="392">
        <v>2017</v>
      </c>
      <c r="P162" s="392">
        <v>2018</v>
      </c>
      <c r="Q162" s="392">
        <v>2019</v>
      </c>
      <c r="R162" s="392">
        <v>2020</v>
      </c>
      <c r="S162" s="392">
        <v>2021</v>
      </c>
      <c r="T162" s="392">
        <v>2022</v>
      </c>
      <c r="U162" s="392">
        <v>2023</v>
      </c>
      <c r="V162" s="393">
        <v>2024</v>
      </c>
    </row>
    <row r="163" spans="1:22" ht="17.149999999999999" customHeight="1">
      <c r="A163" s="120" t="s">
        <v>391</v>
      </c>
      <c r="C163" s="1091" t="s">
        <v>392</v>
      </c>
      <c r="D163" s="460"/>
      <c r="E163" s="460"/>
      <c r="F163" s="460"/>
      <c r="G163" s="458" t="s">
        <v>378</v>
      </c>
      <c r="I163" s="347">
        <v>6.5</v>
      </c>
      <c r="J163" s="340">
        <v>5.8</v>
      </c>
      <c r="K163" s="340">
        <v>3.7</v>
      </c>
      <c r="L163" s="340">
        <v>0.2</v>
      </c>
      <c r="M163" s="340">
        <v>0.2</v>
      </c>
      <c r="N163" s="340">
        <v>0.2</v>
      </c>
      <c r="O163" s="340">
        <v>0.2</v>
      </c>
      <c r="P163" s="340">
        <v>0.1</v>
      </c>
      <c r="Q163" s="340">
        <v>0.2</v>
      </c>
      <c r="R163" s="340">
        <v>0.2</v>
      </c>
      <c r="S163" s="340">
        <v>0.3</v>
      </c>
      <c r="T163" s="340">
        <v>0.2</v>
      </c>
      <c r="U163" s="340">
        <v>0.2</v>
      </c>
      <c r="V163" s="348">
        <v>0.1</v>
      </c>
    </row>
    <row r="164" spans="1:22" ht="17.149999999999999" customHeight="1">
      <c r="C164" s="1092" t="s">
        <v>393</v>
      </c>
      <c r="D164" s="1093"/>
      <c r="E164" s="1093"/>
      <c r="F164" s="1093"/>
      <c r="G164" s="1094" t="s">
        <v>378</v>
      </c>
      <c r="I164" s="349"/>
      <c r="J164" s="339">
        <v>0</v>
      </c>
      <c r="K164" s="339">
        <v>0</v>
      </c>
      <c r="L164" s="339">
        <v>0</v>
      </c>
      <c r="M164" s="339">
        <v>0.1</v>
      </c>
      <c r="N164" s="339">
        <v>0.2</v>
      </c>
      <c r="O164" s="339">
        <v>0.4</v>
      </c>
      <c r="P164" s="339">
        <v>0.7</v>
      </c>
      <c r="Q164" s="339">
        <v>1.2</v>
      </c>
      <c r="R164" s="339">
        <v>2.2000000000000002</v>
      </c>
      <c r="S164" s="339">
        <v>4.3</v>
      </c>
      <c r="T164" s="339">
        <v>7</v>
      </c>
      <c r="U164" s="339">
        <v>9.1</v>
      </c>
      <c r="V164" s="350">
        <v>11.6</v>
      </c>
    </row>
    <row r="165" spans="1:22" ht="17.149999999999999" customHeight="1"/>
    <row r="166" spans="1:22" ht="17.149999999999999" customHeight="1">
      <c r="I166" s="391">
        <v>2011</v>
      </c>
      <c r="J166" s="392">
        <v>2012</v>
      </c>
      <c r="K166" s="392">
        <v>2013</v>
      </c>
      <c r="L166" s="392">
        <v>2014</v>
      </c>
      <c r="M166" s="392">
        <v>2015</v>
      </c>
      <c r="N166" s="392">
        <v>2016</v>
      </c>
      <c r="O166" s="392">
        <v>2017</v>
      </c>
      <c r="P166" s="392">
        <v>2018</v>
      </c>
      <c r="Q166" s="392">
        <v>2019</v>
      </c>
      <c r="R166" s="392">
        <v>2020</v>
      </c>
      <c r="S166" s="392">
        <v>2021</v>
      </c>
      <c r="T166" s="392">
        <v>2022</v>
      </c>
      <c r="U166" s="392">
        <v>2023</v>
      </c>
      <c r="V166" s="393">
        <v>2024</v>
      </c>
    </row>
    <row r="167" spans="1:22" ht="17.149999999999999" customHeight="1">
      <c r="A167" s="120" t="s">
        <v>391</v>
      </c>
      <c r="C167" s="406" t="s">
        <v>394</v>
      </c>
      <c r="D167" s="70"/>
      <c r="E167" s="70"/>
      <c r="F167" s="70"/>
      <c r="G167" s="29" t="s">
        <v>378</v>
      </c>
      <c r="I167" s="351">
        <v>519</v>
      </c>
      <c r="J167" s="352">
        <v>495</v>
      </c>
      <c r="K167" s="352">
        <v>477</v>
      </c>
      <c r="L167" s="352">
        <v>462</v>
      </c>
      <c r="M167" s="352">
        <v>470</v>
      </c>
      <c r="N167" s="352">
        <v>489</v>
      </c>
      <c r="O167" s="352">
        <v>501</v>
      </c>
      <c r="P167" s="352">
        <v>489</v>
      </c>
      <c r="Q167" s="352">
        <v>496</v>
      </c>
      <c r="R167" s="352">
        <v>486</v>
      </c>
      <c r="S167" s="352">
        <v>470</v>
      </c>
      <c r="T167" s="352">
        <v>471</v>
      </c>
      <c r="U167" s="352">
        <v>417</v>
      </c>
      <c r="V167" s="1095">
        <v>393</v>
      </c>
    </row>
    <row r="168" spans="1:22" ht="17.149999999999999" customHeight="1">
      <c r="C168" s="91" t="s">
        <v>395</v>
      </c>
      <c r="D168" s="92"/>
      <c r="E168" s="92"/>
      <c r="F168" s="92"/>
      <c r="G168" s="33" t="s">
        <v>313</v>
      </c>
      <c r="I168" s="117">
        <f>(I167-I164)/I167</f>
        <v>1</v>
      </c>
      <c r="J168" s="118">
        <f>(J167-J164)/J167</f>
        <v>1</v>
      </c>
      <c r="K168" s="118">
        <f>(K167-K164)/K167</f>
        <v>1</v>
      </c>
      <c r="L168" s="118">
        <f t="shared" ref="L168:T168" si="11">(L167-L164)/L167</f>
        <v>1</v>
      </c>
      <c r="M168" s="118">
        <f>(M167-M164)/M167</f>
        <v>0.9997872340425531</v>
      </c>
      <c r="N168" s="118">
        <f t="shared" si="11"/>
        <v>0.99959100204498985</v>
      </c>
      <c r="O168" s="118">
        <f t="shared" si="11"/>
        <v>0.99920159680638732</v>
      </c>
      <c r="P168" s="118">
        <f t="shared" si="11"/>
        <v>0.99856850715746426</v>
      </c>
      <c r="Q168" s="118">
        <f t="shared" si="11"/>
        <v>0.9975806451612903</v>
      </c>
      <c r="R168" s="118">
        <f>(R167-R164)/R167</f>
        <v>0.99547325102880657</v>
      </c>
      <c r="S168" s="118">
        <f t="shared" si="11"/>
        <v>0.99085106382978716</v>
      </c>
      <c r="T168" s="118">
        <f t="shared" si="11"/>
        <v>0.9851380042462845</v>
      </c>
      <c r="U168" s="118">
        <f>(U167-U164)/U167</f>
        <v>0.97817745803357303</v>
      </c>
      <c r="V168" s="119">
        <f>(V167-V164)/V167</f>
        <v>0.9704834605597964</v>
      </c>
    </row>
    <row r="170" spans="1:22">
      <c r="A170" s="120" t="s">
        <v>396</v>
      </c>
      <c r="C170" s="15" t="s">
        <v>397</v>
      </c>
    </row>
    <row r="171" spans="1:22">
      <c r="C171" s="65" t="s">
        <v>398</v>
      </c>
      <c r="D171" s="64" t="s">
        <v>399</v>
      </c>
    </row>
    <row r="172" spans="1:22">
      <c r="C172" s="69" t="s">
        <v>71</v>
      </c>
      <c r="D172" s="418">
        <v>0.78</v>
      </c>
    </row>
    <row r="173" spans="1:22">
      <c r="C173" s="71" t="s">
        <v>400</v>
      </c>
      <c r="D173" s="419">
        <v>0.12</v>
      </c>
    </row>
    <row r="174" spans="1:22">
      <c r="C174" s="71" t="s">
        <v>197</v>
      </c>
      <c r="D174" s="419">
        <v>7.0000000000000007E-2</v>
      </c>
    </row>
    <row r="175" spans="1:22">
      <c r="C175" s="91" t="s">
        <v>401</v>
      </c>
      <c r="D175" s="420">
        <v>0.03</v>
      </c>
    </row>
    <row r="176" spans="1:22">
      <c r="D176" s="316"/>
    </row>
    <row r="177" spans="1:5">
      <c r="A177" s="120" t="s">
        <v>396</v>
      </c>
      <c r="C177" s="15" t="s">
        <v>402</v>
      </c>
      <c r="D177" s="316"/>
    </row>
    <row r="178" spans="1:5">
      <c r="C178" s="407">
        <v>2017</v>
      </c>
      <c r="D178" s="408" t="s">
        <v>403</v>
      </c>
      <c r="E178" s="64" t="s">
        <v>404</v>
      </c>
    </row>
    <row r="179" spans="1:5">
      <c r="C179" s="71" t="s">
        <v>405</v>
      </c>
      <c r="D179" s="414">
        <v>0.39</v>
      </c>
      <c r="E179" s="379">
        <v>60</v>
      </c>
    </row>
    <row r="180" spans="1:5">
      <c r="C180" s="71" t="s">
        <v>406</v>
      </c>
      <c r="D180" s="414">
        <v>0.39</v>
      </c>
      <c r="E180" s="379">
        <v>20</v>
      </c>
    </row>
    <row r="181" spans="1:5">
      <c r="C181" s="71" t="s">
        <v>407</v>
      </c>
      <c r="D181" s="414">
        <v>0.05</v>
      </c>
      <c r="E181" s="379">
        <v>8</v>
      </c>
    </row>
    <row r="182" spans="1:5">
      <c r="C182" s="71" t="s">
        <v>320</v>
      </c>
      <c r="D182" s="414">
        <v>0.06</v>
      </c>
      <c r="E182" s="379">
        <v>4</v>
      </c>
    </row>
    <row r="183" spans="1:5">
      <c r="C183" s="71" t="s">
        <v>408</v>
      </c>
      <c r="D183" s="414">
        <v>0.06</v>
      </c>
      <c r="E183" s="379">
        <v>5</v>
      </c>
    </row>
    <row r="184" spans="1:5">
      <c r="C184" s="91" t="s">
        <v>409</v>
      </c>
      <c r="D184" s="416">
        <v>0.04</v>
      </c>
      <c r="E184" s="383">
        <v>1</v>
      </c>
    </row>
    <row r="185" spans="1:5">
      <c r="D185" s="316"/>
    </row>
    <row r="186" spans="1:5">
      <c r="A186" s="120" t="s">
        <v>396</v>
      </c>
      <c r="C186" s="15" t="s">
        <v>410</v>
      </c>
      <c r="D186" s="316"/>
    </row>
    <row r="187" spans="1:5">
      <c r="C187" s="407">
        <v>2017</v>
      </c>
      <c r="D187" s="409" t="s">
        <v>403</v>
      </c>
      <c r="E187" s="410" t="s">
        <v>404</v>
      </c>
    </row>
    <row r="188" spans="1:5">
      <c r="C188" s="69" t="s">
        <v>411</v>
      </c>
      <c r="D188" s="412">
        <v>0.31</v>
      </c>
      <c r="E188" s="413">
        <v>0.28999999999999998</v>
      </c>
    </row>
    <row r="189" spans="1:5">
      <c r="C189" s="71" t="s">
        <v>412</v>
      </c>
      <c r="D189" s="414">
        <v>7.0000000000000007E-2</v>
      </c>
      <c r="E189" s="415">
        <v>0.05</v>
      </c>
    </row>
    <row r="190" spans="1:5">
      <c r="C190" s="71" t="s">
        <v>413</v>
      </c>
      <c r="D190" s="414">
        <v>0.17</v>
      </c>
      <c r="E190" s="415">
        <v>0.17</v>
      </c>
    </row>
    <row r="191" spans="1:5">
      <c r="C191" s="71" t="s">
        <v>414</v>
      </c>
      <c r="D191" s="414">
        <v>0.15</v>
      </c>
      <c r="E191" s="415">
        <v>0.16</v>
      </c>
    </row>
    <row r="192" spans="1:5">
      <c r="C192" s="71" t="s">
        <v>415</v>
      </c>
      <c r="D192" s="414">
        <v>0.12</v>
      </c>
      <c r="E192" s="415">
        <v>0.12</v>
      </c>
    </row>
    <row r="193" spans="1:23">
      <c r="C193" s="91" t="s">
        <v>416</v>
      </c>
      <c r="D193" s="416">
        <v>0.19</v>
      </c>
      <c r="E193" s="417">
        <v>0.21</v>
      </c>
    </row>
    <row r="194" spans="1:23">
      <c r="D194" s="316"/>
    </row>
    <row r="195" spans="1:23">
      <c r="A195" s="120" t="s">
        <v>396</v>
      </c>
      <c r="C195" s="15" t="s">
        <v>417</v>
      </c>
      <c r="D195" s="316"/>
      <c r="H195" s="15" t="s">
        <v>418</v>
      </c>
      <c r="P195" s="15"/>
      <c r="Q195" s="316"/>
    </row>
    <row r="196" spans="1:23">
      <c r="C196" s="407">
        <v>2017</v>
      </c>
      <c r="D196" s="411" t="s">
        <v>313</v>
      </c>
      <c r="H196" s="65" t="s">
        <v>419</v>
      </c>
      <c r="I196" s="391">
        <v>2011</v>
      </c>
      <c r="J196" s="392">
        <v>2012</v>
      </c>
      <c r="K196" s="392">
        <v>2013</v>
      </c>
      <c r="L196" s="392">
        <v>2014</v>
      </c>
      <c r="M196" s="392">
        <v>2015</v>
      </c>
      <c r="N196" s="392">
        <v>2016</v>
      </c>
      <c r="O196" s="392">
        <v>2017</v>
      </c>
      <c r="P196" s="392">
        <v>2018</v>
      </c>
      <c r="Q196" s="392">
        <v>2019</v>
      </c>
      <c r="R196" s="392">
        <v>2020</v>
      </c>
      <c r="S196" s="392">
        <v>2021</v>
      </c>
      <c r="T196" s="392">
        <v>2022</v>
      </c>
      <c r="U196" s="392">
        <v>2023</v>
      </c>
      <c r="V196" s="393">
        <v>2024</v>
      </c>
    </row>
    <row r="197" spans="1:23">
      <c r="C197" s="69" t="s">
        <v>420</v>
      </c>
      <c r="D197" s="418">
        <v>0.56999999999999995</v>
      </c>
      <c r="H197" s="71" t="s">
        <v>420</v>
      </c>
      <c r="I197" s="357">
        <f>I138*0.01</f>
        <v>9.4934748949347503E-2</v>
      </c>
      <c r="J197" s="331">
        <f t="shared" ref="J197:V197" si="12">J138*0.01</f>
        <v>8.8820976825777859E-2</v>
      </c>
      <c r="K197" s="331">
        <f t="shared" si="12"/>
        <v>7.9159248628419859E-2</v>
      </c>
      <c r="L197" s="331">
        <f t="shared" si="12"/>
        <v>4.5680492392941495E-2</v>
      </c>
      <c r="M197" s="331">
        <f t="shared" si="12"/>
        <v>6.0584409853337989E-2</v>
      </c>
      <c r="N197" s="331">
        <f t="shared" si="12"/>
        <v>8.4831304604221641E-2</v>
      </c>
      <c r="O197" s="331">
        <f t="shared" si="12"/>
        <v>0.10133763264116301</v>
      </c>
      <c r="P197" s="331">
        <f t="shared" si="12"/>
        <v>7.0189256467666244E-2</v>
      </c>
      <c r="Q197" s="331">
        <f t="shared" si="12"/>
        <v>7.7756955509336118E-2</v>
      </c>
      <c r="R197" s="331">
        <f t="shared" si="12"/>
        <v>7.4714865460657989E-2</v>
      </c>
      <c r="S197" s="331">
        <f t="shared" si="12"/>
        <v>7.3841629351633839E-2</v>
      </c>
      <c r="T197" s="331">
        <f t="shared" si="12"/>
        <v>0.11028589064070349</v>
      </c>
      <c r="U197" s="289">
        <f t="shared" si="12"/>
        <v>6.3984005478008948E-2</v>
      </c>
      <c r="V197" s="289">
        <f t="shared" si="12"/>
        <v>0</v>
      </c>
    </row>
    <row r="198" spans="1:23">
      <c r="C198" s="71" t="s">
        <v>193</v>
      </c>
      <c r="D198" s="419">
        <v>0.28000000000000003</v>
      </c>
      <c r="H198" s="71" t="s">
        <v>193</v>
      </c>
      <c r="I198" s="360">
        <f>I168</f>
        <v>1</v>
      </c>
      <c r="J198" s="316">
        <f t="shared" ref="J198:P198" si="13">J168</f>
        <v>1</v>
      </c>
      <c r="K198" s="316">
        <f t="shared" si="13"/>
        <v>1</v>
      </c>
      <c r="L198" s="316">
        <f t="shared" si="13"/>
        <v>1</v>
      </c>
      <c r="M198" s="316">
        <f t="shared" si="13"/>
        <v>0.9997872340425531</v>
      </c>
      <c r="N198" s="316">
        <f t="shared" si="13"/>
        <v>0.99959100204498985</v>
      </c>
      <c r="O198" s="316">
        <f t="shared" si="13"/>
        <v>0.99920159680638732</v>
      </c>
      <c r="P198" s="316">
        <f t="shared" si="13"/>
        <v>0.99856850715746426</v>
      </c>
      <c r="Q198" s="316">
        <f t="shared" ref="Q198:V198" si="14">Q168</f>
        <v>0.9975806451612903</v>
      </c>
      <c r="R198" s="315">
        <f t="shared" si="14"/>
        <v>0.99547325102880657</v>
      </c>
      <c r="S198" s="316">
        <f t="shared" si="14"/>
        <v>0.99085106382978716</v>
      </c>
      <c r="T198" s="316">
        <f t="shared" si="14"/>
        <v>0.9851380042462845</v>
      </c>
      <c r="U198" s="328">
        <f t="shared" si="14"/>
        <v>0.97817745803357303</v>
      </c>
      <c r="V198" s="328">
        <f t="shared" si="14"/>
        <v>0.9704834605597964</v>
      </c>
    </row>
    <row r="199" spans="1:23">
      <c r="C199" s="71" t="s">
        <v>421</v>
      </c>
      <c r="D199" s="419">
        <v>0.06</v>
      </c>
      <c r="H199" s="71" t="s">
        <v>422</v>
      </c>
      <c r="I199" s="360">
        <v>1</v>
      </c>
      <c r="J199" s="316">
        <v>1</v>
      </c>
      <c r="K199" s="316">
        <v>1</v>
      </c>
      <c r="L199" s="316">
        <v>1</v>
      </c>
      <c r="M199" s="316">
        <v>1</v>
      </c>
      <c r="N199" s="316">
        <v>1</v>
      </c>
      <c r="O199" s="316">
        <v>1</v>
      </c>
      <c r="P199" s="316">
        <v>1</v>
      </c>
      <c r="Q199" s="316">
        <v>1</v>
      </c>
      <c r="R199" s="316">
        <v>1</v>
      </c>
      <c r="S199" s="316">
        <v>1</v>
      </c>
      <c r="T199" s="316">
        <v>1</v>
      </c>
      <c r="U199" s="328">
        <v>1</v>
      </c>
      <c r="V199" s="328">
        <v>1</v>
      </c>
    </row>
    <row r="200" spans="1:23">
      <c r="C200" s="71" t="s">
        <v>423</v>
      </c>
      <c r="D200" s="419">
        <v>7.0000000000000007E-2</v>
      </c>
      <c r="H200" s="71" t="s">
        <v>423</v>
      </c>
      <c r="I200" s="360">
        <f>1-I113</f>
        <v>0.67972226449654594</v>
      </c>
      <c r="J200" s="316">
        <f t="shared" ref="J200:P200" si="15">1-J113</f>
        <v>0.66271478712981002</v>
      </c>
      <c r="K200" s="316">
        <f t="shared" si="15"/>
        <v>0.65616612313934641</v>
      </c>
      <c r="L200" s="316">
        <f t="shared" si="15"/>
        <v>0.52980059212512365</v>
      </c>
      <c r="M200" s="316">
        <f t="shared" si="15"/>
        <v>0.51416190945039997</v>
      </c>
      <c r="N200" s="316">
        <f t="shared" si="15"/>
        <v>0.48051819702667831</v>
      </c>
      <c r="O200" s="316">
        <f t="shared" si="15"/>
        <v>0.44830359298519074</v>
      </c>
      <c r="P200" s="316">
        <f t="shared" si="15"/>
        <v>0.44808950101499367</v>
      </c>
      <c r="Q200" s="316">
        <f t="shared" ref="Q200:V200" si="16">1-Q113</f>
        <v>0.42340925215613234</v>
      </c>
      <c r="R200" s="316">
        <f t="shared" si="16"/>
        <v>0.41912545180817407</v>
      </c>
      <c r="S200" s="316">
        <f t="shared" si="16"/>
        <v>0.40983446993182082</v>
      </c>
      <c r="T200" s="316">
        <f t="shared" si="16"/>
        <v>0.3633637494734997</v>
      </c>
      <c r="U200" s="328">
        <f t="shared" si="16"/>
        <v>0.374102154768722</v>
      </c>
      <c r="V200" s="328">
        <f t="shared" si="16"/>
        <v>0.34428387124834581</v>
      </c>
    </row>
    <row r="201" spans="1:23">
      <c r="C201" s="71" t="s">
        <v>424</v>
      </c>
      <c r="D201" s="419">
        <v>0.02</v>
      </c>
      <c r="H201" s="71" t="s">
        <v>424</v>
      </c>
      <c r="I201" s="360">
        <v>1</v>
      </c>
      <c r="J201" s="316">
        <v>1</v>
      </c>
      <c r="K201" s="316">
        <v>1</v>
      </c>
      <c r="L201" s="316">
        <v>1</v>
      </c>
      <c r="M201" s="316">
        <v>1</v>
      </c>
      <c r="N201" s="316">
        <v>1</v>
      </c>
      <c r="O201" s="316">
        <v>1</v>
      </c>
      <c r="P201" s="316">
        <v>1</v>
      </c>
      <c r="Q201" s="316">
        <v>1</v>
      </c>
      <c r="R201" s="316">
        <v>1</v>
      </c>
      <c r="S201" s="316">
        <v>1</v>
      </c>
      <c r="T201" s="316">
        <v>1</v>
      </c>
      <c r="U201" s="328">
        <v>1</v>
      </c>
      <c r="V201" s="328">
        <v>1</v>
      </c>
    </row>
    <row r="202" spans="1:23">
      <c r="C202" s="91" t="s">
        <v>409</v>
      </c>
      <c r="D202" s="420">
        <v>0.01</v>
      </c>
      <c r="H202" s="91" t="s">
        <v>409</v>
      </c>
      <c r="I202" s="358">
        <v>0</v>
      </c>
      <c r="J202" s="329">
        <v>0</v>
      </c>
      <c r="K202" s="329">
        <v>0</v>
      </c>
      <c r="L202" s="329">
        <v>0</v>
      </c>
      <c r="M202" s="329">
        <v>0</v>
      </c>
      <c r="N202" s="329">
        <v>0</v>
      </c>
      <c r="O202" s="329">
        <v>0</v>
      </c>
      <c r="P202" s="329">
        <v>0</v>
      </c>
      <c r="Q202" s="329">
        <v>0</v>
      </c>
      <c r="R202" s="329">
        <v>0</v>
      </c>
      <c r="S202" s="329">
        <v>0</v>
      </c>
      <c r="T202" s="329">
        <v>0</v>
      </c>
      <c r="U202" s="330">
        <v>0</v>
      </c>
      <c r="V202" s="330">
        <v>0</v>
      </c>
    </row>
    <row r="203" spans="1:23">
      <c r="C203" t="s">
        <v>425</v>
      </c>
      <c r="D203" s="316"/>
    </row>
    <row r="204" spans="1:23">
      <c r="C204" s="511" t="s">
        <v>336</v>
      </c>
      <c r="D204" s="512"/>
      <c r="E204" s="475"/>
      <c r="F204" s="476"/>
      <c r="I204" s="391">
        <v>2011</v>
      </c>
      <c r="J204" s="392">
        <v>2012</v>
      </c>
      <c r="K204" s="392">
        <v>2013</v>
      </c>
      <c r="L204" s="392">
        <v>2014</v>
      </c>
      <c r="M204" s="392">
        <v>2015</v>
      </c>
      <c r="N204" s="392">
        <v>2016</v>
      </c>
      <c r="O204" s="392">
        <v>2017</v>
      </c>
      <c r="P204" s="392">
        <v>2018</v>
      </c>
      <c r="Q204" s="392">
        <v>2019</v>
      </c>
      <c r="R204" s="392">
        <v>2020</v>
      </c>
      <c r="S204" s="392">
        <v>2021</v>
      </c>
      <c r="T204" s="392">
        <v>2022</v>
      </c>
      <c r="U204" s="392">
        <v>2023</v>
      </c>
      <c r="V204" s="393">
        <v>2024</v>
      </c>
    </row>
    <row r="205" spans="1:23">
      <c r="C205" s="472" t="s">
        <v>337</v>
      </c>
      <c r="D205" s="467"/>
      <c r="E205" s="467"/>
      <c r="F205" s="515"/>
      <c r="I205" s="1096"/>
      <c r="J205" s="1097"/>
      <c r="K205" s="1097"/>
      <c r="L205" s="1097"/>
      <c r="M205" s="1097"/>
      <c r="N205" s="1097"/>
      <c r="O205" s="1097"/>
      <c r="P205" s="1097"/>
      <c r="Q205" s="1097"/>
      <c r="R205" s="1097"/>
      <c r="S205" s="1097"/>
      <c r="T205" s="1097"/>
      <c r="U205" s="1100"/>
      <c r="V205" s="1101"/>
      <c r="W205" s="15"/>
    </row>
    <row r="206" spans="1:23">
      <c r="C206" s="497" t="s">
        <v>341</v>
      </c>
      <c r="D206" s="498"/>
      <c r="E206" s="96"/>
      <c r="F206" s="189"/>
      <c r="I206" s="505">
        <f>I39</f>
        <v>2018799902.6179156</v>
      </c>
      <c r="J206" s="319">
        <f t="shared" ref="J206:V206" si="17">J39</f>
        <v>2147075117.8364193</v>
      </c>
      <c r="K206" s="319">
        <f t="shared" si="17"/>
        <v>2345141310.331892</v>
      </c>
      <c r="L206" s="319">
        <f t="shared" si="17"/>
        <v>2179516805.3585987</v>
      </c>
      <c r="M206" s="319">
        <f t="shared" si="17"/>
        <v>2189784534.0549407</v>
      </c>
      <c r="N206" s="319">
        <f t="shared" si="17"/>
        <v>2039415995.4981427</v>
      </c>
      <c r="O206" s="319">
        <f t="shared" si="17"/>
        <v>2071520817.738826</v>
      </c>
      <c r="P206" s="319">
        <f t="shared" si="17"/>
        <v>2125133409.1329706</v>
      </c>
      <c r="Q206" s="319">
        <f t="shared" si="17"/>
        <v>2140072335.3812082</v>
      </c>
      <c r="R206" s="319">
        <f t="shared" si="17"/>
        <v>2024412853.7416446</v>
      </c>
      <c r="S206" s="319">
        <f t="shared" si="17"/>
        <v>2113989485.2922189</v>
      </c>
      <c r="T206" s="319">
        <f t="shared" si="17"/>
        <v>2657319612.6489244</v>
      </c>
      <c r="U206" s="319">
        <f t="shared" si="17"/>
        <v>3272862826.32231</v>
      </c>
      <c r="V206" s="423">
        <f t="shared" si="17"/>
        <v>3101159987.3172898</v>
      </c>
    </row>
    <row r="207" spans="1:23">
      <c r="C207" s="187" t="s">
        <v>420</v>
      </c>
      <c r="D207" s="498"/>
      <c r="E207" s="96"/>
      <c r="F207" s="189"/>
      <c r="I207" s="506">
        <f>I$206*$D197</f>
        <v>1150715944.4922118</v>
      </c>
      <c r="J207" s="312">
        <f>J$206*$D197</f>
        <v>1223832817.166759</v>
      </c>
      <c r="K207" s="312">
        <f t="shared" ref="K207:P207" si="18">K$206*$D197</f>
        <v>1336730546.8891783</v>
      </c>
      <c r="L207" s="312">
        <f t="shared" si="18"/>
        <v>1242324579.0544012</v>
      </c>
      <c r="M207" s="312">
        <f t="shared" si="18"/>
        <v>1248177184.4113162</v>
      </c>
      <c r="N207" s="312">
        <f t="shared" si="18"/>
        <v>1162467117.4339414</v>
      </c>
      <c r="O207" s="312">
        <f t="shared" si="18"/>
        <v>1180766866.1111307</v>
      </c>
      <c r="P207" s="312">
        <f t="shared" si="18"/>
        <v>1211326043.2057931</v>
      </c>
      <c r="Q207" s="312">
        <f t="shared" ref="Q207:V208" si="19">Q$206*$D197</f>
        <v>1219841231.1672885</v>
      </c>
      <c r="R207" s="312">
        <f t="shared" si="19"/>
        <v>1153915326.6327374</v>
      </c>
      <c r="S207" s="312">
        <f t="shared" si="19"/>
        <v>1204974006.6165648</v>
      </c>
      <c r="T207" s="312">
        <f t="shared" si="19"/>
        <v>1514672179.2098868</v>
      </c>
      <c r="U207" s="312">
        <f t="shared" si="19"/>
        <v>1865531811.0037165</v>
      </c>
      <c r="V207" s="313">
        <f t="shared" si="19"/>
        <v>1767661192.7708549</v>
      </c>
    </row>
    <row r="208" spans="1:23">
      <c r="C208" s="187" t="s">
        <v>193</v>
      </c>
      <c r="D208" s="498"/>
      <c r="E208" s="498"/>
      <c r="F208" s="189"/>
      <c r="I208" s="506">
        <f t="shared" ref="I208:P209" si="20">I$206*$D198</f>
        <v>565263972.73301637</v>
      </c>
      <c r="J208" s="312">
        <f t="shared" si="20"/>
        <v>601181032.99419749</v>
      </c>
      <c r="K208" s="312">
        <f t="shared" si="20"/>
        <v>656639566.89292979</v>
      </c>
      <c r="L208" s="312">
        <f t="shared" si="20"/>
        <v>610264705.5004077</v>
      </c>
      <c r="M208" s="312">
        <f t="shared" si="20"/>
        <v>613139669.53538346</v>
      </c>
      <c r="N208" s="312">
        <f t="shared" si="20"/>
        <v>571036478.73948002</v>
      </c>
      <c r="O208" s="312">
        <f t="shared" si="20"/>
        <v>580025828.96687138</v>
      </c>
      <c r="P208" s="312">
        <f t="shared" si="20"/>
        <v>595037354.55723178</v>
      </c>
      <c r="Q208" s="312">
        <f t="shared" si="19"/>
        <v>599220253.9067384</v>
      </c>
      <c r="R208" s="312">
        <f t="shared" si="19"/>
        <v>566835599.04766059</v>
      </c>
      <c r="S208" s="312">
        <f t="shared" si="19"/>
        <v>591917055.88182139</v>
      </c>
      <c r="T208" s="312">
        <f t="shared" si="19"/>
        <v>744049491.54169893</v>
      </c>
      <c r="U208" s="312">
        <f t="shared" si="19"/>
        <v>916401591.37024689</v>
      </c>
      <c r="V208" s="313">
        <f t="shared" si="19"/>
        <v>868324796.44884121</v>
      </c>
      <c r="W208" s="322"/>
    </row>
    <row r="209" spans="3:23">
      <c r="C209" s="187" t="s">
        <v>421</v>
      </c>
      <c r="D209" s="498"/>
      <c r="E209" s="498"/>
      <c r="F209" s="189"/>
      <c r="I209" s="506">
        <f>I$206*$D199</f>
        <v>121127994.15707493</v>
      </c>
      <c r="J209" s="312">
        <f t="shared" si="20"/>
        <v>128824507.07018515</v>
      </c>
      <c r="K209" s="312">
        <f t="shared" si="20"/>
        <v>140708478.61991352</v>
      </c>
      <c r="L209" s="312">
        <f t="shared" si="20"/>
        <v>130771008.32151592</v>
      </c>
      <c r="M209" s="312">
        <f t="shared" si="20"/>
        <v>131387072.04329644</v>
      </c>
      <c r="N209" s="312">
        <f t="shared" si="20"/>
        <v>122364959.72988856</v>
      </c>
      <c r="O209" s="312">
        <f t="shared" si="20"/>
        <v>124291249.06432956</v>
      </c>
      <c r="P209" s="312">
        <f t="shared" si="20"/>
        <v>127508004.54797822</v>
      </c>
      <c r="Q209" s="312">
        <f t="shared" ref="Q209:V209" si="21">Q$206*$D199</f>
        <v>128404340.12287249</v>
      </c>
      <c r="R209" s="312">
        <f t="shared" si="21"/>
        <v>121464771.22449867</v>
      </c>
      <c r="S209" s="312">
        <f t="shared" si="21"/>
        <v>126839369.11753313</v>
      </c>
      <c r="T209" s="312">
        <f t="shared" si="21"/>
        <v>159439176.75893545</v>
      </c>
      <c r="U209" s="312">
        <f t="shared" si="21"/>
        <v>196371769.57933858</v>
      </c>
      <c r="V209" s="313">
        <f t="shared" si="21"/>
        <v>186069599.23903739</v>
      </c>
    </row>
    <row r="210" spans="3:23">
      <c r="C210" s="187" t="s">
        <v>423</v>
      </c>
      <c r="D210" s="498"/>
      <c r="E210" s="498"/>
      <c r="F210" s="189"/>
      <c r="I210" s="506">
        <f t="shared" ref="I210:P210" si="22">I$206*$D200</f>
        <v>141315993.18325409</v>
      </c>
      <c r="J210" s="312">
        <f t="shared" si="22"/>
        <v>150295258.24854937</v>
      </c>
      <c r="K210" s="312">
        <f t="shared" si="22"/>
        <v>164159891.72323245</v>
      </c>
      <c r="L210" s="312">
        <f t="shared" si="22"/>
        <v>152566176.37510192</v>
      </c>
      <c r="M210" s="312">
        <f t="shared" si="22"/>
        <v>153284917.38384587</v>
      </c>
      <c r="N210" s="312">
        <f t="shared" si="22"/>
        <v>142759119.68487</v>
      </c>
      <c r="O210" s="312">
        <f t="shared" si="22"/>
        <v>145006457.24171785</v>
      </c>
      <c r="P210" s="312">
        <f t="shared" si="22"/>
        <v>148759338.63930795</v>
      </c>
      <c r="Q210" s="312">
        <f t="shared" ref="Q210:V211" si="23">Q$206*$D200</f>
        <v>149805063.4766846</v>
      </c>
      <c r="R210" s="312">
        <f t="shared" si="23"/>
        <v>141708899.76191515</v>
      </c>
      <c r="S210" s="312">
        <f t="shared" si="23"/>
        <v>147979263.97045535</v>
      </c>
      <c r="T210" s="312">
        <f t="shared" si="23"/>
        <v>186012372.88542473</v>
      </c>
      <c r="U210" s="312">
        <f t="shared" si="23"/>
        <v>229100397.84256172</v>
      </c>
      <c r="V210" s="313">
        <f t="shared" si="23"/>
        <v>217081199.1122103</v>
      </c>
    </row>
    <row r="211" spans="3:23">
      <c r="C211" s="187" t="s">
        <v>426</v>
      </c>
      <c r="D211" s="498"/>
      <c r="E211" s="498"/>
      <c r="F211" s="189"/>
      <c r="I211" s="506">
        <f t="shared" ref="I211:P211" si="24">I$206*$D201</f>
        <v>40375998.052358314</v>
      </c>
      <c r="J211" s="312">
        <f t="shared" si="24"/>
        <v>42941502.35672839</v>
      </c>
      <c r="K211" s="312">
        <f t="shared" si="24"/>
        <v>46902826.206637844</v>
      </c>
      <c r="L211" s="312">
        <f>L$206*$D201</f>
        <v>43590336.107171975</v>
      </c>
      <c r="M211" s="312">
        <f t="shared" si="24"/>
        <v>43795690.681098811</v>
      </c>
      <c r="N211" s="312">
        <f t="shared" si="24"/>
        <v>40788319.909962855</v>
      </c>
      <c r="O211" s="312">
        <f t="shared" si="24"/>
        <v>41430416.354776524</v>
      </c>
      <c r="P211" s="312">
        <f t="shared" si="24"/>
        <v>42502668.18265941</v>
      </c>
      <c r="Q211" s="312">
        <f t="shared" si="23"/>
        <v>42801446.707624167</v>
      </c>
      <c r="R211" s="312">
        <f t="shared" si="23"/>
        <v>40488257.074832894</v>
      </c>
      <c r="S211" s="312">
        <f t="shared" si="23"/>
        <v>42279789.70584438</v>
      </c>
      <c r="T211" s="312">
        <f t="shared" si="23"/>
        <v>53146392.252978489</v>
      </c>
      <c r="U211" s="312">
        <f t="shared" si="23"/>
        <v>65457256.526446201</v>
      </c>
      <c r="V211" s="313">
        <f t="shared" si="23"/>
        <v>62023199.746345796</v>
      </c>
    </row>
    <row r="212" spans="3:23">
      <c r="C212" s="496" t="s">
        <v>420</v>
      </c>
      <c r="D212" s="498"/>
      <c r="E212" s="498"/>
      <c r="F212" s="189"/>
      <c r="I212" s="507">
        <f t="shared" ref="I212:P212" si="25">I207*I197</f>
        <v>109242929.30237943</v>
      </c>
      <c r="J212" s="310">
        <f t="shared" si="25"/>
        <v>108702026.29219513</v>
      </c>
      <c r="K212" s="310">
        <f t="shared" si="25"/>
        <v>105814585.71040411</v>
      </c>
      <c r="L212" s="310">
        <f t="shared" si="25"/>
        <v>56749998.483058818</v>
      </c>
      <c r="M212" s="310">
        <f t="shared" si="25"/>
        <v>75620078.109960616</v>
      </c>
      <c r="N212" s="310">
        <f t="shared" si="25"/>
        <v>98613602.131430164</v>
      </c>
      <c r="O212" s="310">
        <f t="shared" si="25"/>
        <v>119656118.91282707</v>
      </c>
      <c r="P212" s="310">
        <f t="shared" si="25"/>
        <v>85022074.312534779</v>
      </c>
      <c r="Q212" s="310">
        <f t="shared" ref="Q212:V212" si="26">Q207*Q197</f>
        <v>94851140.340328649</v>
      </c>
      <c r="R212" s="310">
        <f t="shared" si="26"/>
        <v>86214628.382356197</v>
      </c>
      <c r="S212" s="310">
        <f t="shared" si="26"/>
        <v>88977243.97493355</v>
      </c>
      <c r="T212" s="310">
        <f t="shared" si="26"/>
        <v>167046970.3128576</v>
      </c>
      <c r="U212" s="310">
        <f t="shared" si="26"/>
        <v>119364197.61466175</v>
      </c>
      <c r="V212" s="311">
        <f t="shared" si="26"/>
        <v>0</v>
      </c>
    </row>
    <row r="213" spans="3:23">
      <c r="C213" s="496" t="s">
        <v>193</v>
      </c>
      <c r="D213" s="498"/>
      <c r="E213" s="498"/>
      <c r="F213" s="189"/>
      <c r="I213" s="507">
        <f>I208*I198</f>
        <v>565263972.73301637</v>
      </c>
      <c r="J213" s="310">
        <f t="shared" ref="J213:P213" si="27">J208*J198</f>
        <v>601181032.99419749</v>
      </c>
      <c r="K213" s="310">
        <f t="shared" si="27"/>
        <v>656639566.89292979</v>
      </c>
      <c r="L213" s="310">
        <f t="shared" si="27"/>
        <v>610264705.5004077</v>
      </c>
      <c r="M213" s="310">
        <f t="shared" si="27"/>
        <v>613009214.28654611</v>
      </c>
      <c r="N213" s="310">
        <f>N208*N198</f>
        <v>570802925.98743939</v>
      </c>
      <c r="O213" s="310">
        <f t="shared" si="27"/>
        <v>579562734.49264634</v>
      </c>
      <c r="P213" s="310">
        <f t="shared" si="27"/>
        <v>594185562.84314167</v>
      </c>
      <c r="Q213" s="310">
        <f>Q208*Q198</f>
        <v>597770527.48599625</v>
      </c>
      <c r="R213" s="310">
        <f t="shared" ref="Q213:V216" si="28">R208*R198</f>
        <v>564269676.58283579</v>
      </c>
      <c r="S213" s="310">
        <f t="shared" si="28"/>
        <v>586501644.51949835</v>
      </c>
      <c r="T213" s="310">
        <f t="shared" si="28"/>
        <v>732991431.15785205</v>
      </c>
      <c r="U213" s="310">
        <f t="shared" si="28"/>
        <v>896403379.18446922</v>
      </c>
      <c r="V213" s="311">
        <f t="shared" si="28"/>
        <v>842694853.34755218</v>
      </c>
    </row>
    <row r="214" spans="3:23">
      <c r="C214" s="496" t="s">
        <v>421</v>
      </c>
      <c r="D214" s="498"/>
      <c r="E214" s="498"/>
      <c r="F214" s="189"/>
      <c r="I214" s="507">
        <f t="shared" ref="I214:P215" si="29">I209*I199</f>
        <v>121127994.15707493</v>
      </c>
      <c r="J214" s="310">
        <f t="shared" si="29"/>
        <v>128824507.07018515</v>
      </c>
      <c r="K214" s="310">
        <f t="shared" si="29"/>
        <v>140708478.61991352</v>
      </c>
      <c r="L214" s="310">
        <f t="shared" si="29"/>
        <v>130771008.32151592</v>
      </c>
      <c r="M214" s="310">
        <f t="shared" si="29"/>
        <v>131387072.04329644</v>
      </c>
      <c r="N214" s="310">
        <f t="shared" si="29"/>
        <v>122364959.72988856</v>
      </c>
      <c r="O214" s="310">
        <f t="shared" si="29"/>
        <v>124291249.06432956</v>
      </c>
      <c r="P214" s="310">
        <f t="shared" si="29"/>
        <v>127508004.54797822</v>
      </c>
      <c r="Q214" s="310">
        <f t="shared" si="28"/>
        <v>128404340.12287249</v>
      </c>
      <c r="R214" s="310">
        <f t="shared" si="28"/>
        <v>121464771.22449867</v>
      </c>
      <c r="S214" s="310">
        <f t="shared" si="28"/>
        <v>126839369.11753313</v>
      </c>
      <c r="T214" s="310">
        <f t="shared" si="28"/>
        <v>159439176.75893545</v>
      </c>
      <c r="U214" s="310">
        <f t="shared" si="28"/>
        <v>196371769.57933858</v>
      </c>
      <c r="V214" s="311">
        <f t="shared" si="28"/>
        <v>186069599.23903739</v>
      </c>
    </row>
    <row r="215" spans="3:23">
      <c r="C215" s="496" t="s">
        <v>423</v>
      </c>
      <c r="D215" s="498"/>
      <c r="E215" s="498"/>
      <c r="F215" s="189"/>
      <c r="I215" s="507">
        <f t="shared" si="29"/>
        <v>96055626.896099925</v>
      </c>
      <c r="J215" s="310">
        <f t="shared" si="29"/>
        <v>99602890.076807216</v>
      </c>
      <c r="K215" s="310">
        <f t="shared" si="29"/>
        <v>107716159.72700831</v>
      </c>
      <c r="L215" s="310">
        <f t="shared" si="29"/>
        <v>80829650.581795052</v>
      </c>
      <c r="M215" s="310">
        <f t="shared" si="29"/>
        <v>78813265.812024996</v>
      </c>
      <c r="N215" s="310">
        <f t="shared" si="29"/>
        <v>68598354.800089508</v>
      </c>
      <c r="O215" s="310">
        <f t="shared" si="29"/>
        <v>65006915.787515543</v>
      </c>
      <c r="P215" s="310">
        <f t="shared" si="29"/>
        <v>66657497.822207965</v>
      </c>
      <c r="Q215" s="310">
        <f t="shared" si="28"/>
        <v>63428849.895864964</v>
      </c>
      <c r="R215" s="310">
        <f t="shared" si="28"/>
        <v>59393806.637951933</v>
      </c>
      <c r="S215" s="310">
        <f t="shared" si="28"/>
        <v>60647003.210232556</v>
      </c>
      <c r="T215" s="310">
        <f t="shared" si="28"/>
        <v>67590153.260110676</v>
      </c>
      <c r="U215" s="310">
        <f t="shared" si="28"/>
        <v>85706952.491273805</v>
      </c>
      <c r="V215" s="311">
        <f t="shared" si="28"/>
        <v>74737555.605584726</v>
      </c>
    </row>
    <row r="216" spans="3:23">
      <c r="C216" s="496" t="s">
        <v>426</v>
      </c>
      <c r="D216" s="498"/>
      <c r="E216" s="498"/>
      <c r="F216" s="189"/>
      <c r="I216" s="507">
        <f t="shared" ref="I216:P216" si="30">I211*I201</f>
        <v>40375998.052358314</v>
      </c>
      <c r="J216" s="310">
        <f t="shared" si="30"/>
        <v>42941502.35672839</v>
      </c>
      <c r="K216" s="310">
        <f t="shared" si="30"/>
        <v>46902826.206637844</v>
      </c>
      <c r="L216" s="310">
        <f t="shared" si="30"/>
        <v>43590336.107171975</v>
      </c>
      <c r="M216" s="310">
        <f t="shared" si="30"/>
        <v>43795690.681098811</v>
      </c>
      <c r="N216" s="310">
        <f t="shared" si="30"/>
        <v>40788319.909962855</v>
      </c>
      <c r="O216" s="310">
        <f t="shared" si="30"/>
        <v>41430416.354776524</v>
      </c>
      <c r="P216" s="310">
        <f t="shared" si="30"/>
        <v>42502668.18265941</v>
      </c>
      <c r="Q216" s="310">
        <f>Q211*Q201</f>
        <v>42801446.707624167</v>
      </c>
      <c r="R216" s="310">
        <f t="shared" si="28"/>
        <v>40488257.074832894</v>
      </c>
      <c r="S216" s="310">
        <f t="shared" si="28"/>
        <v>42279789.70584438</v>
      </c>
      <c r="T216" s="310">
        <f t="shared" si="28"/>
        <v>53146392.252978489</v>
      </c>
      <c r="U216" s="310">
        <f t="shared" si="28"/>
        <v>65457256.526446201</v>
      </c>
      <c r="V216" s="311">
        <f t="shared" si="28"/>
        <v>62023199.746345796</v>
      </c>
    </row>
    <row r="217" spans="3:23">
      <c r="C217" s="496" t="s">
        <v>241</v>
      </c>
      <c r="D217" s="498"/>
      <c r="E217" s="498"/>
      <c r="F217" s="189"/>
      <c r="I217" s="508">
        <f t="shared" ref="I217:P217" si="31">SUM(I212:I216)</f>
        <v>932066521.14092898</v>
      </c>
      <c r="J217" s="359">
        <f t="shared" si="31"/>
        <v>981251958.79011345</v>
      </c>
      <c r="K217" s="359">
        <f t="shared" si="31"/>
        <v>1057781617.1568937</v>
      </c>
      <c r="L217" s="359">
        <f t="shared" si="31"/>
        <v>922205698.99394953</v>
      </c>
      <c r="M217" s="359">
        <f t="shared" si="31"/>
        <v>942625320.93292701</v>
      </c>
      <c r="N217" s="359">
        <f t="shared" si="31"/>
        <v>901168162.55881047</v>
      </c>
      <c r="O217" s="359">
        <f t="shared" si="31"/>
        <v>929947434.61209512</v>
      </c>
      <c r="P217" s="359">
        <f t="shared" si="31"/>
        <v>915875807.70852208</v>
      </c>
      <c r="Q217" s="359">
        <f t="shared" ref="Q217:V217" si="32">SUM(Q212:Q216)</f>
        <v>927256304.55268657</v>
      </c>
      <c r="R217" s="359">
        <f t="shared" si="32"/>
        <v>871831139.90247548</v>
      </c>
      <c r="S217" s="359">
        <f t="shared" si="32"/>
        <v>905245050.52804184</v>
      </c>
      <c r="T217" s="359">
        <f t="shared" si="32"/>
        <v>1180214123.7427344</v>
      </c>
      <c r="U217" s="359">
        <f t="shared" si="32"/>
        <v>1363303555.3961895</v>
      </c>
      <c r="V217" s="422">
        <f t="shared" si="32"/>
        <v>1165525207.93852</v>
      </c>
    </row>
    <row r="218" spans="3:23">
      <c r="C218" s="472" t="s">
        <v>345</v>
      </c>
      <c r="D218" s="467"/>
      <c r="E218" s="467"/>
      <c r="F218" s="515"/>
      <c r="I218" s="388"/>
      <c r="J218" s="467"/>
      <c r="K218" s="467"/>
      <c r="L218" s="467"/>
      <c r="M218" s="467"/>
      <c r="N218" s="467"/>
      <c r="O218" s="467"/>
      <c r="P218" s="467"/>
      <c r="Q218" s="468"/>
      <c r="R218" s="468"/>
      <c r="S218" s="468"/>
      <c r="T218" s="468"/>
      <c r="U218" s="1098"/>
      <c r="V218" s="314"/>
    </row>
    <row r="219" spans="3:23">
      <c r="C219" s="497" t="s">
        <v>341</v>
      </c>
      <c r="D219" s="498"/>
      <c r="E219" s="96"/>
      <c r="F219" s="189"/>
      <c r="I219" s="505">
        <f>I48</f>
        <v>261219958.1283631</v>
      </c>
      <c r="J219" s="319">
        <f t="shared" ref="J219:V219" si="33">J48</f>
        <v>290858626.10306847</v>
      </c>
      <c r="K219" s="319">
        <f t="shared" si="33"/>
        <v>328468964.19360006</v>
      </c>
      <c r="L219" s="319">
        <f t="shared" si="33"/>
        <v>338140142.0659982</v>
      </c>
      <c r="M219" s="319">
        <f t="shared" si="33"/>
        <v>363716924.96723127</v>
      </c>
      <c r="N219" s="319">
        <f t="shared" si="33"/>
        <v>363956264.97733551</v>
      </c>
      <c r="O219" s="319">
        <f t="shared" si="33"/>
        <v>394300556.7121886</v>
      </c>
      <c r="P219" s="319">
        <f t="shared" si="33"/>
        <v>427774186.16606498</v>
      </c>
      <c r="Q219" s="319">
        <f t="shared" si="33"/>
        <v>454660576.15793622</v>
      </c>
      <c r="R219" s="319">
        <f t="shared" si="33"/>
        <v>458089650.73570764</v>
      </c>
      <c r="S219" s="319">
        <f t="shared" si="33"/>
        <v>482681602.03537613</v>
      </c>
      <c r="T219" s="319">
        <f t="shared" si="33"/>
        <v>614156996.92131341</v>
      </c>
      <c r="U219" s="319">
        <f t="shared" si="33"/>
        <v>832843510.20915127</v>
      </c>
      <c r="V219" s="423">
        <f t="shared" si="33"/>
        <v>794806236.12914097</v>
      </c>
    </row>
    <row r="220" spans="3:23">
      <c r="C220" s="187" t="s">
        <v>420</v>
      </c>
      <c r="D220" s="498"/>
      <c r="E220" s="96"/>
      <c r="F220" s="189"/>
      <c r="I220" s="506">
        <f t="shared" ref="I220:P224" si="34">I$219*$D197</f>
        <v>148895376.13316697</v>
      </c>
      <c r="J220" s="312">
        <f t="shared" si="34"/>
        <v>165789416.87874901</v>
      </c>
      <c r="K220" s="312">
        <f t="shared" si="34"/>
        <v>187227309.59035203</v>
      </c>
      <c r="L220" s="312">
        <f t="shared" si="34"/>
        <v>192739880.97761896</v>
      </c>
      <c r="M220" s="312">
        <f t="shared" si="34"/>
        <v>207318647.23132181</v>
      </c>
      <c r="N220" s="312">
        <f t="shared" si="34"/>
        <v>207455071.03708121</v>
      </c>
      <c r="O220" s="312">
        <f t="shared" si="34"/>
        <v>224751317.32594749</v>
      </c>
      <c r="P220" s="312">
        <f t="shared" si="34"/>
        <v>243831286.11465701</v>
      </c>
      <c r="Q220" s="312">
        <f t="shared" ref="Q220:V224" si="35">Q$219*$D197</f>
        <v>259156528.41002363</v>
      </c>
      <c r="R220" s="312">
        <f t="shared" si="35"/>
        <v>261111100.91935334</v>
      </c>
      <c r="S220" s="312">
        <f t="shared" si="35"/>
        <v>275128513.16016436</v>
      </c>
      <c r="T220" s="312">
        <f t="shared" si="35"/>
        <v>350069488.2451486</v>
      </c>
      <c r="U220" s="312">
        <f t="shared" si="35"/>
        <v>474720800.81921619</v>
      </c>
      <c r="V220" s="313">
        <f t="shared" si="35"/>
        <v>453039554.59361029</v>
      </c>
    </row>
    <row r="221" spans="3:23">
      <c r="C221" s="187" t="s">
        <v>193</v>
      </c>
      <c r="D221" s="498"/>
      <c r="E221" s="96"/>
      <c r="F221" s="189"/>
      <c r="I221" s="506">
        <f t="shared" si="34"/>
        <v>73141588.27594167</v>
      </c>
      <c r="J221" s="312">
        <f t="shared" si="34"/>
        <v>81440415.308859184</v>
      </c>
      <c r="K221" s="312">
        <f t="shared" si="34"/>
        <v>91971309.974208027</v>
      </c>
      <c r="L221" s="312">
        <f t="shared" si="34"/>
        <v>94679239.778479502</v>
      </c>
      <c r="M221" s="312">
        <f t="shared" si="34"/>
        <v>101840738.99082476</v>
      </c>
      <c r="N221" s="312">
        <f t="shared" si="34"/>
        <v>101907754.19365396</v>
      </c>
      <c r="O221" s="312">
        <f t="shared" si="34"/>
        <v>110404155.87941281</v>
      </c>
      <c r="P221" s="312">
        <f t="shared" si="34"/>
        <v>119776772.12649821</v>
      </c>
      <c r="Q221" s="312">
        <f>Q$219*$D198</f>
        <v>127304961.32422215</v>
      </c>
      <c r="R221" s="312">
        <f>R$219*$D198</f>
        <v>128265102.20599815</v>
      </c>
      <c r="S221" s="312">
        <f t="shared" si="35"/>
        <v>135150848.56990534</v>
      </c>
      <c r="T221" s="312">
        <f t="shared" si="35"/>
        <v>171963959.13796777</v>
      </c>
      <c r="U221" s="312">
        <f t="shared" si="35"/>
        <v>233196182.85856238</v>
      </c>
      <c r="V221" s="313">
        <f t="shared" si="35"/>
        <v>222545746.1161595</v>
      </c>
      <c r="W221" s="322"/>
    </row>
    <row r="222" spans="3:23">
      <c r="C222" s="187" t="s">
        <v>421</v>
      </c>
      <c r="D222" s="498"/>
      <c r="E222" s="96"/>
      <c r="F222" s="189"/>
      <c r="I222" s="506">
        <f t="shared" si="34"/>
        <v>15673197.487701785</v>
      </c>
      <c r="J222" s="312">
        <f t="shared" si="34"/>
        <v>17451517.566184107</v>
      </c>
      <c r="K222" s="312">
        <f t="shared" si="34"/>
        <v>19708137.851616003</v>
      </c>
      <c r="L222" s="312">
        <f t="shared" si="34"/>
        <v>20288408.52395989</v>
      </c>
      <c r="M222" s="312">
        <f t="shared" si="34"/>
        <v>21823015.498033877</v>
      </c>
      <c r="N222" s="312">
        <f t="shared" si="34"/>
        <v>21837375.89864013</v>
      </c>
      <c r="O222" s="312">
        <f t="shared" si="34"/>
        <v>23658033.402731314</v>
      </c>
      <c r="P222" s="312">
        <f t="shared" si="34"/>
        <v>25666451.169963896</v>
      </c>
      <c r="Q222" s="312">
        <f t="shared" si="35"/>
        <v>27279634.569476172</v>
      </c>
      <c r="R222" s="312">
        <f t="shared" si="35"/>
        <v>27485379.044142459</v>
      </c>
      <c r="S222" s="312">
        <f t="shared" si="35"/>
        <v>28960896.122122567</v>
      </c>
      <c r="T222" s="312">
        <f t="shared" si="35"/>
        <v>36849419.815278806</v>
      </c>
      <c r="U222" s="312">
        <f t="shared" si="35"/>
        <v>49970610.612549074</v>
      </c>
      <c r="V222" s="313">
        <f t="shared" si="35"/>
        <v>47688374.167748459</v>
      </c>
    </row>
    <row r="223" spans="3:23">
      <c r="C223" s="187" t="s">
        <v>423</v>
      </c>
      <c r="D223" s="498"/>
      <c r="E223" s="96"/>
      <c r="F223" s="189"/>
      <c r="I223" s="506">
        <f t="shared" si="34"/>
        <v>18285397.068985417</v>
      </c>
      <c r="J223" s="312">
        <f t="shared" si="34"/>
        <v>20360103.827214796</v>
      </c>
      <c r="K223" s="312">
        <f t="shared" si="34"/>
        <v>22992827.493552007</v>
      </c>
      <c r="L223" s="312">
        <f t="shared" si="34"/>
        <v>23669809.944619875</v>
      </c>
      <c r="M223" s="312">
        <f t="shared" si="34"/>
        <v>25460184.74770619</v>
      </c>
      <c r="N223" s="312">
        <f t="shared" si="34"/>
        <v>25476938.548413489</v>
      </c>
      <c r="O223" s="312">
        <f t="shared" si="34"/>
        <v>27601038.969853204</v>
      </c>
      <c r="P223" s="312">
        <f t="shared" si="34"/>
        <v>29944193.031624552</v>
      </c>
      <c r="Q223" s="312">
        <f t="shared" si="35"/>
        <v>31826240.331055537</v>
      </c>
      <c r="R223" s="312">
        <f t="shared" si="35"/>
        <v>32066275.551499538</v>
      </c>
      <c r="S223" s="312">
        <f t="shared" si="35"/>
        <v>33787712.142476335</v>
      </c>
      <c r="T223" s="312">
        <f t="shared" si="35"/>
        <v>42990989.784491941</v>
      </c>
      <c r="U223" s="312">
        <f t="shared" si="35"/>
        <v>58299045.714640595</v>
      </c>
      <c r="V223" s="313">
        <f t="shared" si="35"/>
        <v>55636436.529039875</v>
      </c>
    </row>
    <row r="224" spans="3:23">
      <c r="C224" s="187" t="s">
        <v>426</v>
      </c>
      <c r="D224" s="498"/>
      <c r="E224" s="96"/>
      <c r="F224" s="189"/>
      <c r="I224" s="506">
        <f t="shared" si="34"/>
        <v>5224399.1625672625</v>
      </c>
      <c r="J224" s="312">
        <f t="shared" si="34"/>
        <v>5817172.5220613694</v>
      </c>
      <c r="K224" s="312">
        <f t="shared" si="34"/>
        <v>6569379.2838720009</v>
      </c>
      <c r="L224" s="312">
        <f t="shared" si="34"/>
        <v>6762802.8413199643</v>
      </c>
      <c r="M224" s="312">
        <f t="shared" si="34"/>
        <v>7274338.4993446255</v>
      </c>
      <c r="N224" s="312">
        <f t="shared" si="34"/>
        <v>7279125.2995467102</v>
      </c>
      <c r="O224" s="312">
        <f t="shared" si="34"/>
        <v>7886011.1342437724</v>
      </c>
      <c r="P224" s="312">
        <f t="shared" si="34"/>
        <v>8555483.7233213</v>
      </c>
      <c r="Q224" s="312">
        <f t="shared" si="35"/>
        <v>9093211.5231587254</v>
      </c>
      <c r="R224" s="312">
        <f t="shared" si="35"/>
        <v>9161793.0147141535</v>
      </c>
      <c r="S224" s="312">
        <f t="shared" si="35"/>
        <v>9653632.040707523</v>
      </c>
      <c r="T224" s="312">
        <f t="shared" si="35"/>
        <v>12283139.938426269</v>
      </c>
      <c r="U224" s="312">
        <f t="shared" si="35"/>
        <v>16656870.204183025</v>
      </c>
      <c r="V224" s="313">
        <f t="shared" si="35"/>
        <v>15896124.722582819</v>
      </c>
    </row>
    <row r="225" spans="3:23">
      <c r="C225" s="496" t="s">
        <v>420</v>
      </c>
      <c r="D225" s="498"/>
      <c r="E225" s="96"/>
      <c r="F225" s="189"/>
      <c r="I225" s="507">
        <f t="shared" ref="I225:P225" si="36">I220*I197</f>
        <v>14135345.152920874</v>
      </c>
      <c r="J225" s="310">
        <f t="shared" si="36"/>
        <v>14725577.954546591</v>
      </c>
      <c r="K225" s="310">
        <f t="shared" si="36"/>
        <v>14820773.149892814</v>
      </c>
      <c r="L225" s="310">
        <f t="shared" si="36"/>
        <v>8804452.6668145712</v>
      </c>
      <c r="M225" s="310">
        <f t="shared" si="36"/>
        <v>12560277.894101996</v>
      </c>
      <c r="N225" s="310">
        <f t="shared" si="36"/>
        <v>17598684.322837073</v>
      </c>
      <c r="O225" s="310">
        <f t="shared" si="36"/>
        <v>22775766.430794321</v>
      </c>
      <c r="P225" s="310">
        <f t="shared" si="36"/>
        <v>17114336.67594257</v>
      </c>
      <c r="Q225" s="310">
        <f t="shared" ref="Q225:V225" si="37">Q220*Q197</f>
        <v>20151222.64953221</v>
      </c>
      <c r="R225" s="310">
        <f t="shared" si="37"/>
        <v>19508880.775473773</v>
      </c>
      <c r="S225" s="310">
        <f t="shared" si="37"/>
        <v>20315937.692838971</v>
      </c>
      <c r="T225" s="310">
        <f t="shared" si="37"/>
        <v>38607725.297251493</v>
      </c>
      <c r="U225" s="310">
        <f t="shared" si="37"/>
        <v>30374538.320141524</v>
      </c>
      <c r="V225" s="311">
        <f t="shared" si="37"/>
        <v>0</v>
      </c>
    </row>
    <row r="226" spans="3:23">
      <c r="C226" s="496" t="s">
        <v>193</v>
      </c>
      <c r="D226" s="498"/>
      <c r="E226" s="96"/>
      <c r="F226" s="189"/>
      <c r="I226" s="507">
        <f t="shared" ref="I226:P229" si="38">I221*I198</f>
        <v>73141588.27594167</v>
      </c>
      <c r="J226" s="310">
        <f t="shared" si="38"/>
        <v>81440415.308859184</v>
      </c>
      <c r="K226" s="310">
        <f t="shared" si="38"/>
        <v>91971309.974208027</v>
      </c>
      <c r="L226" s="310">
        <f t="shared" si="38"/>
        <v>94679239.778479502</v>
      </c>
      <c r="M226" s="310">
        <f t="shared" si="38"/>
        <v>101819070.74848628</v>
      </c>
      <c r="N226" s="310">
        <f t="shared" si="38"/>
        <v>101866074.13058907</v>
      </c>
      <c r="O226" s="310">
        <f t="shared" si="38"/>
        <v>110316008.84877057</v>
      </c>
      <c r="P226" s="310">
        <f t="shared" si="38"/>
        <v>119605312.5344971</v>
      </c>
      <c r="Q226" s="310">
        <f>Q221*Q198</f>
        <v>126996965.45005064</v>
      </c>
      <c r="R226" s="310">
        <f>R221*R198</f>
        <v>127684478.28654712</v>
      </c>
      <c r="S226" s="310">
        <f t="shared" ref="Q226:V229" si="39">S221*S198</f>
        <v>133914362.08298917</v>
      </c>
      <c r="T226" s="310">
        <f t="shared" si="39"/>
        <v>169408231.50746718</v>
      </c>
      <c r="U226" s="310">
        <f t="shared" si="39"/>
        <v>228107249.37172082</v>
      </c>
      <c r="V226" s="311">
        <f t="shared" si="39"/>
        <v>215976965.82367232</v>
      </c>
    </row>
    <row r="227" spans="3:23">
      <c r="C227" s="496" t="s">
        <v>421</v>
      </c>
      <c r="D227" s="498"/>
      <c r="E227" s="96"/>
      <c r="F227" s="189"/>
      <c r="I227" s="507">
        <f t="shared" si="38"/>
        <v>15673197.487701785</v>
      </c>
      <c r="J227" s="310">
        <f t="shared" si="38"/>
        <v>17451517.566184107</v>
      </c>
      <c r="K227" s="310">
        <f t="shared" si="38"/>
        <v>19708137.851616003</v>
      </c>
      <c r="L227" s="310">
        <f t="shared" si="38"/>
        <v>20288408.52395989</v>
      </c>
      <c r="M227" s="310">
        <f t="shared" si="38"/>
        <v>21823015.498033877</v>
      </c>
      <c r="N227" s="310">
        <f t="shared" si="38"/>
        <v>21837375.89864013</v>
      </c>
      <c r="O227" s="310">
        <f t="shared" si="38"/>
        <v>23658033.402731314</v>
      </c>
      <c r="P227" s="310">
        <f t="shared" si="38"/>
        <v>25666451.169963896</v>
      </c>
      <c r="Q227" s="310">
        <f t="shared" si="39"/>
        <v>27279634.569476172</v>
      </c>
      <c r="R227" s="310">
        <f t="shared" si="39"/>
        <v>27485379.044142459</v>
      </c>
      <c r="S227" s="310">
        <f t="shared" si="39"/>
        <v>28960896.122122567</v>
      </c>
      <c r="T227" s="310">
        <f t="shared" si="39"/>
        <v>36849419.815278806</v>
      </c>
      <c r="U227" s="310">
        <f t="shared" si="39"/>
        <v>49970610.612549074</v>
      </c>
      <c r="V227" s="311">
        <f t="shared" si="39"/>
        <v>47688374.167748459</v>
      </c>
    </row>
    <row r="228" spans="3:23">
      <c r="C228" s="496" t="s">
        <v>423</v>
      </c>
      <c r="D228" s="498"/>
      <c r="E228" s="96"/>
      <c r="F228" s="189"/>
      <c r="I228" s="507">
        <f t="shared" si="38"/>
        <v>12428991.502949271</v>
      </c>
      <c r="J228" s="310">
        <f t="shared" si="38"/>
        <v>13492941.873793485</v>
      </c>
      <c r="K228" s="310">
        <f t="shared" si="38"/>
        <v>15087114.476455797</v>
      </c>
      <c r="L228" s="310">
        <f t="shared" si="38"/>
        <v>12540279.32414875</v>
      </c>
      <c r="M228" s="310">
        <f t="shared" si="38"/>
        <v>13090657.204840565</v>
      </c>
      <c r="N228" s="310">
        <f t="shared" si="38"/>
        <v>12242132.577043129</v>
      </c>
      <c r="O228" s="310">
        <f t="shared" si="38"/>
        <v>12373644.940309459</v>
      </c>
      <c r="P228" s="310">
        <f t="shared" si="38"/>
        <v>13417678.513837297</v>
      </c>
      <c r="Q228" s="310">
        <f t="shared" si="39"/>
        <v>13475524.617513563</v>
      </c>
      <c r="R228" s="310">
        <f t="shared" si="39"/>
        <v>13439792.228327651</v>
      </c>
      <c r="S228" s="310">
        <f t="shared" si="39"/>
        <v>13847369.096120736</v>
      </c>
      <c r="T228" s="310">
        <f t="shared" si="39"/>
        <v>15621367.241669914</v>
      </c>
      <c r="U228" s="310">
        <f t="shared" si="39"/>
        <v>21809798.622807276</v>
      </c>
      <c r="V228" s="311">
        <f t="shared" si="39"/>
        <v>19154727.750680726</v>
      </c>
    </row>
    <row r="229" spans="3:23">
      <c r="C229" s="496" t="s">
        <v>426</v>
      </c>
      <c r="D229" s="498"/>
      <c r="E229" s="96"/>
      <c r="F229" s="189"/>
      <c r="I229" s="507">
        <f t="shared" si="38"/>
        <v>5224399.1625672625</v>
      </c>
      <c r="J229" s="310">
        <f t="shared" si="38"/>
        <v>5817172.5220613694</v>
      </c>
      <c r="K229" s="310">
        <f t="shared" si="38"/>
        <v>6569379.2838720009</v>
      </c>
      <c r="L229" s="310">
        <f t="shared" si="38"/>
        <v>6762802.8413199643</v>
      </c>
      <c r="M229" s="310">
        <f t="shared" si="38"/>
        <v>7274338.4993446255</v>
      </c>
      <c r="N229" s="310">
        <f t="shared" si="38"/>
        <v>7279125.2995467102</v>
      </c>
      <c r="O229" s="310">
        <f t="shared" si="38"/>
        <v>7886011.1342437724</v>
      </c>
      <c r="P229" s="310">
        <f t="shared" si="38"/>
        <v>8555483.7233213</v>
      </c>
      <c r="Q229" s="310">
        <f t="shared" si="39"/>
        <v>9093211.5231587254</v>
      </c>
      <c r="R229" s="310">
        <f t="shared" si="39"/>
        <v>9161793.0147141535</v>
      </c>
      <c r="S229" s="310">
        <f t="shared" si="39"/>
        <v>9653632.040707523</v>
      </c>
      <c r="T229" s="310">
        <f t="shared" si="39"/>
        <v>12283139.938426269</v>
      </c>
      <c r="U229" s="310">
        <f t="shared" si="39"/>
        <v>16656870.204183025</v>
      </c>
      <c r="V229" s="311">
        <f t="shared" si="39"/>
        <v>15896124.722582819</v>
      </c>
    </row>
    <row r="230" spans="3:23">
      <c r="C230" s="496" t="s">
        <v>241</v>
      </c>
      <c r="D230" s="498"/>
      <c r="E230" s="96"/>
      <c r="F230" s="189"/>
      <c r="I230" s="508">
        <f t="shared" ref="I230:P230" si="40">SUM(I225:I229)</f>
        <v>120603521.58208086</v>
      </c>
      <c r="J230" s="359">
        <f t="shared" si="40"/>
        <v>132927625.22544472</v>
      </c>
      <c r="K230" s="359">
        <f t="shared" si="40"/>
        <v>148156714.73604465</v>
      </c>
      <c r="L230" s="359">
        <f t="shared" si="40"/>
        <v>143075183.13472268</v>
      </c>
      <c r="M230" s="359">
        <f t="shared" si="40"/>
        <v>156567359.84480733</v>
      </c>
      <c r="N230" s="359">
        <f t="shared" si="40"/>
        <v>160823392.22865611</v>
      </c>
      <c r="O230" s="359">
        <f t="shared" si="40"/>
        <v>177009464.75684947</v>
      </c>
      <c r="P230" s="359">
        <f t="shared" si="40"/>
        <v>184359262.61756217</v>
      </c>
      <c r="Q230" s="359">
        <f t="shared" ref="Q230:V230" si="41">SUM(Q225:Q229)</f>
        <v>196996558.80973133</v>
      </c>
      <c r="R230" s="359">
        <f t="shared" si="41"/>
        <v>197280323.34920517</v>
      </c>
      <c r="S230" s="359">
        <f t="shared" si="41"/>
        <v>206692197.03477898</v>
      </c>
      <c r="T230" s="359">
        <f t="shared" si="41"/>
        <v>272769883.80009365</v>
      </c>
      <c r="U230" s="359">
        <f t="shared" si="41"/>
        <v>346919067.13140172</v>
      </c>
      <c r="V230" s="422">
        <f t="shared" si="41"/>
        <v>298716192.46468431</v>
      </c>
    </row>
    <row r="231" spans="3:23">
      <c r="C231" s="472" t="s">
        <v>346</v>
      </c>
      <c r="D231" s="467"/>
      <c r="E231" s="467"/>
      <c r="F231" s="515"/>
      <c r="I231" s="388"/>
      <c r="J231" s="467"/>
      <c r="K231" s="467"/>
      <c r="L231" s="467"/>
      <c r="M231" s="467"/>
      <c r="N231" s="467"/>
      <c r="O231" s="467"/>
      <c r="P231" s="467"/>
      <c r="Q231" s="468"/>
      <c r="R231" s="468"/>
      <c r="S231" s="468"/>
      <c r="T231" s="468"/>
      <c r="U231" s="1098"/>
      <c r="V231" s="314"/>
    </row>
    <row r="232" spans="3:23">
      <c r="C232" s="497" t="s">
        <v>341</v>
      </c>
      <c r="D232" s="498"/>
      <c r="E232" s="96"/>
      <c r="F232" s="189"/>
      <c r="I232" s="505">
        <f>I57</f>
        <v>127986853.46046773</v>
      </c>
      <c r="J232" s="319">
        <f t="shared" ref="J232:V232" si="42">J57</f>
        <v>143883569.3788318</v>
      </c>
      <c r="K232" s="319">
        <f t="shared" si="42"/>
        <v>155165500.40530813</v>
      </c>
      <c r="L232" s="319">
        <f t="shared" si="42"/>
        <v>149906549.3517552</v>
      </c>
      <c r="M232" s="319">
        <f t="shared" si="42"/>
        <v>161853777.20609498</v>
      </c>
      <c r="N232" s="319">
        <f t="shared" si="42"/>
        <v>162963574.65637916</v>
      </c>
      <c r="O232" s="319">
        <f t="shared" si="42"/>
        <v>161013826.64445829</v>
      </c>
      <c r="P232" s="319">
        <f t="shared" si="42"/>
        <v>165581252.6203635</v>
      </c>
      <c r="Q232" s="319">
        <f t="shared" si="42"/>
        <v>169789339.33471143</v>
      </c>
      <c r="R232" s="319">
        <f t="shared" si="42"/>
        <v>171395605.92335209</v>
      </c>
      <c r="S232" s="319">
        <f t="shared" si="42"/>
        <v>187417985.11477318</v>
      </c>
      <c r="T232" s="319">
        <f t="shared" si="42"/>
        <v>234219524.58881238</v>
      </c>
      <c r="U232" s="319">
        <f t="shared" si="42"/>
        <v>312195945.57572645</v>
      </c>
      <c r="V232" s="423">
        <f t="shared" si="42"/>
        <v>283606938.29428661</v>
      </c>
    </row>
    <row r="233" spans="3:23">
      <c r="C233" s="187" t="s">
        <v>420</v>
      </c>
      <c r="D233" s="498"/>
      <c r="E233" s="96"/>
      <c r="F233" s="189"/>
      <c r="I233" s="506">
        <f t="shared" ref="I233:P237" si="43">I$232*$D197</f>
        <v>72952506.472466603</v>
      </c>
      <c r="J233" s="312">
        <f t="shared" si="43"/>
        <v>82013634.545934126</v>
      </c>
      <c r="K233" s="312">
        <f t="shared" si="43"/>
        <v>88444335.231025621</v>
      </c>
      <c r="L233" s="312">
        <f t="shared" si="43"/>
        <v>85446733.130500451</v>
      </c>
      <c r="M233" s="312">
        <f t="shared" si="43"/>
        <v>92256653.007474124</v>
      </c>
      <c r="N233" s="312">
        <f t="shared" si="43"/>
        <v>92889237.554136112</v>
      </c>
      <c r="O233" s="312">
        <f t="shared" si="43"/>
        <v>91777881.187341213</v>
      </c>
      <c r="P233" s="312">
        <f t="shared" si="43"/>
        <v>94381313.993607193</v>
      </c>
      <c r="Q233" s="312">
        <f t="shared" ref="Q233:V237" si="44">Q$232*$D197</f>
        <v>96779923.420785502</v>
      </c>
      <c r="R233" s="312">
        <f t="shared" si="44"/>
        <v>97695495.376310691</v>
      </c>
      <c r="S233" s="312">
        <f t="shared" si="44"/>
        <v>106828251.51542071</v>
      </c>
      <c r="T233" s="312">
        <f t="shared" si="44"/>
        <v>133505129.01562305</v>
      </c>
      <c r="U233" s="312">
        <f t="shared" si="44"/>
        <v>177951688.97816405</v>
      </c>
      <c r="V233" s="313">
        <f t="shared" si="44"/>
        <v>161655954.82774335</v>
      </c>
    </row>
    <row r="234" spans="3:23">
      <c r="C234" s="187" t="s">
        <v>193</v>
      </c>
      <c r="D234" s="498"/>
      <c r="E234" s="96"/>
      <c r="F234" s="189"/>
      <c r="I234" s="506">
        <f t="shared" si="43"/>
        <v>35836318.968930967</v>
      </c>
      <c r="J234" s="312">
        <f t="shared" si="43"/>
        <v>40287399.42607291</v>
      </c>
      <c r="K234" s="312">
        <f t="shared" si="43"/>
        <v>43446340.113486283</v>
      </c>
      <c r="L234" s="312">
        <f t="shared" si="43"/>
        <v>41973833.818491459</v>
      </c>
      <c r="M234" s="312">
        <f t="shared" si="43"/>
        <v>45319057.617706597</v>
      </c>
      <c r="N234" s="312">
        <f t="shared" si="43"/>
        <v>45629800.903786168</v>
      </c>
      <c r="O234" s="312">
        <f t="shared" si="43"/>
        <v>45083871.460448325</v>
      </c>
      <c r="P234" s="312">
        <f t="shared" si="43"/>
        <v>46362750.733701788</v>
      </c>
      <c r="Q234" s="312">
        <f t="shared" si="44"/>
        <v>47541015.013719209</v>
      </c>
      <c r="R234" s="312">
        <f t="shared" si="44"/>
        <v>47990769.658538587</v>
      </c>
      <c r="S234" s="312">
        <f t="shared" si="44"/>
        <v>52477035.832136497</v>
      </c>
      <c r="T234" s="312">
        <f t="shared" si="44"/>
        <v>65581466.884867474</v>
      </c>
      <c r="U234" s="312">
        <f t="shared" si="44"/>
        <v>87414864.761203408</v>
      </c>
      <c r="V234" s="313">
        <f t="shared" si="44"/>
        <v>79409942.722400263</v>
      </c>
      <c r="W234" s="322"/>
    </row>
    <row r="235" spans="3:23">
      <c r="C235" s="187" t="s">
        <v>421</v>
      </c>
      <c r="D235" s="498"/>
      <c r="E235" s="96"/>
      <c r="F235" s="189"/>
      <c r="I235" s="506">
        <f t="shared" si="43"/>
        <v>7679211.2076280629</v>
      </c>
      <c r="J235" s="312">
        <f t="shared" si="43"/>
        <v>8633014.1627299078</v>
      </c>
      <c r="K235" s="312">
        <f t="shared" si="43"/>
        <v>9309930.0243184865</v>
      </c>
      <c r="L235" s="312">
        <f t="shared" si="43"/>
        <v>8994392.9611053113</v>
      </c>
      <c r="M235" s="312">
        <f t="shared" si="43"/>
        <v>9711226.632365698</v>
      </c>
      <c r="N235" s="312">
        <f t="shared" si="43"/>
        <v>9777814.4793827496</v>
      </c>
      <c r="O235" s="312">
        <f t="shared" si="43"/>
        <v>9660829.5986674968</v>
      </c>
      <c r="P235" s="312">
        <f t="shared" si="43"/>
        <v>9934875.157221809</v>
      </c>
      <c r="Q235" s="312">
        <f t="shared" si="44"/>
        <v>10187360.360082686</v>
      </c>
      <c r="R235" s="312">
        <f t="shared" si="44"/>
        <v>10283736.355401125</v>
      </c>
      <c r="S235" s="312">
        <f t="shared" si="44"/>
        <v>11245079.106886391</v>
      </c>
      <c r="T235" s="312">
        <f t="shared" si="44"/>
        <v>14053171.475328742</v>
      </c>
      <c r="U235" s="312">
        <f t="shared" si="44"/>
        <v>18731756.734543588</v>
      </c>
      <c r="V235" s="313">
        <f t="shared" si="44"/>
        <v>17016416.297657195</v>
      </c>
    </row>
    <row r="236" spans="3:23">
      <c r="C236" s="187" t="s">
        <v>423</v>
      </c>
      <c r="D236" s="498"/>
      <c r="E236" s="96"/>
      <c r="F236" s="189"/>
      <c r="I236" s="506">
        <f t="shared" si="43"/>
        <v>8959079.7422327418</v>
      </c>
      <c r="J236" s="312">
        <f t="shared" si="43"/>
        <v>10071849.856518228</v>
      </c>
      <c r="K236" s="312">
        <f t="shared" si="43"/>
        <v>10861585.028371571</v>
      </c>
      <c r="L236" s="312">
        <f t="shared" si="43"/>
        <v>10493458.454622865</v>
      </c>
      <c r="M236" s="312">
        <f t="shared" si="43"/>
        <v>11329764.404426649</v>
      </c>
      <c r="N236" s="312">
        <f t="shared" si="43"/>
        <v>11407450.225946542</v>
      </c>
      <c r="O236" s="312">
        <f t="shared" si="43"/>
        <v>11270967.865112081</v>
      </c>
      <c r="P236" s="312">
        <f t="shared" si="43"/>
        <v>11590687.683425447</v>
      </c>
      <c r="Q236" s="312">
        <f t="shared" si="44"/>
        <v>11885253.753429802</v>
      </c>
      <c r="R236" s="312">
        <f t="shared" si="44"/>
        <v>11997692.414634647</v>
      </c>
      <c r="S236" s="312">
        <f t="shared" si="44"/>
        <v>13119258.958034124</v>
      </c>
      <c r="T236" s="312">
        <f t="shared" si="44"/>
        <v>16395366.721216869</v>
      </c>
      <c r="U236" s="312">
        <f t="shared" si="44"/>
        <v>21853716.190300852</v>
      </c>
      <c r="V236" s="313">
        <f t="shared" si="44"/>
        <v>19852485.680600066</v>
      </c>
    </row>
    <row r="237" spans="3:23">
      <c r="C237" s="187" t="s">
        <v>426</v>
      </c>
      <c r="D237" s="498"/>
      <c r="E237" s="96"/>
      <c r="F237" s="189"/>
      <c r="I237" s="506">
        <f t="shared" si="43"/>
        <v>2559737.0692093545</v>
      </c>
      <c r="J237" s="312">
        <f t="shared" si="43"/>
        <v>2877671.3875766359</v>
      </c>
      <c r="K237" s="312">
        <f t="shared" si="43"/>
        <v>3103310.0081061628</v>
      </c>
      <c r="L237" s="312">
        <f t="shared" si="43"/>
        <v>2998130.9870351041</v>
      </c>
      <c r="M237" s="312">
        <f t="shared" si="43"/>
        <v>3237075.5441218996</v>
      </c>
      <c r="N237" s="312">
        <f t="shared" si="43"/>
        <v>3259271.4931275835</v>
      </c>
      <c r="O237" s="312">
        <f t="shared" si="43"/>
        <v>3220276.5328891659</v>
      </c>
      <c r="P237" s="312">
        <f t="shared" si="43"/>
        <v>3311625.0524072703</v>
      </c>
      <c r="Q237" s="312">
        <f t="shared" si="44"/>
        <v>3395786.7866942286</v>
      </c>
      <c r="R237" s="312">
        <f t="shared" si="44"/>
        <v>3427912.1184670418</v>
      </c>
      <c r="S237" s="312">
        <f t="shared" si="44"/>
        <v>3748359.7022954635</v>
      </c>
      <c r="T237" s="312">
        <f t="shared" si="44"/>
        <v>4684390.4917762475</v>
      </c>
      <c r="U237" s="312">
        <f t="shared" si="44"/>
        <v>6243918.911514529</v>
      </c>
      <c r="V237" s="313">
        <f t="shared" si="44"/>
        <v>5672138.7658857321</v>
      </c>
    </row>
    <row r="238" spans="3:23">
      <c r="C238" s="496" t="s">
        <v>420</v>
      </c>
      <c r="D238" s="498"/>
      <c r="E238" s="96"/>
      <c r="F238" s="189"/>
      <c r="I238" s="507">
        <f t="shared" ref="I238:P238" si="45">I233*I197</f>
        <v>6925727.8871892653</v>
      </c>
      <c r="J238" s="310">
        <f t="shared" si="45"/>
        <v>7284531.1334022293</v>
      </c>
      <c r="K238" s="310">
        <f t="shared" si="45"/>
        <v>7001187.1223280709</v>
      </c>
      <c r="L238" s="310">
        <f t="shared" si="45"/>
        <v>3903248.8427695278</v>
      </c>
      <c r="M238" s="310">
        <f t="shared" si="45"/>
        <v>5589314.877501999</v>
      </c>
      <c r="N238" s="310">
        <f t="shared" si="45"/>
        <v>7879915.2054088246</v>
      </c>
      <c r="O238" s="310">
        <f t="shared" si="45"/>
        <v>9300553.2083470896</v>
      </c>
      <c r="P238" s="310">
        <f t="shared" si="45"/>
        <v>6624554.2536526322</v>
      </c>
      <c r="Q238" s="310">
        <f t="shared" ref="Q238:V238" si="46">Q233*Q197</f>
        <v>7525312.1996269748</v>
      </c>
      <c r="R238" s="310">
        <f t="shared" si="46"/>
        <v>7299305.7931533875</v>
      </c>
      <c r="S238" s="310">
        <f t="shared" si="46"/>
        <v>7888372.1526848115</v>
      </c>
      <c r="T238" s="310">
        <f t="shared" si="46"/>
        <v>14723732.058590014</v>
      </c>
      <c r="U238" s="310">
        <f t="shared" si="46"/>
        <v>11386061.842399793</v>
      </c>
      <c r="V238" s="311">
        <f t="shared" si="46"/>
        <v>0</v>
      </c>
    </row>
    <row r="239" spans="3:23">
      <c r="C239" s="496" t="s">
        <v>193</v>
      </c>
      <c r="D239" s="498"/>
      <c r="E239" s="96"/>
      <c r="F239" s="189"/>
      <c r="I239" s="507">
        <f t="shared" ref="I239:P242" si="47">I234*I198</f>
        <v>35836318.968930967</v>
      </c>
      <c r="J239" s="310">
        <f t="shared" si="47"/>
        <v>40287399.42607291</v>
      </c>
      <c r="K239" s="310">
        <f t="shared" si="47"/>
        <v>43446340.113486283</v>
      </c>
      <c r="L239" s="310">
        <f t="shared" si="47"/>
        <v>41973833.818491459</v>
      </c>
      <c r="M239" s="310">
        <f t="shared" si="47"/>
        <v>45309415.265021972</v>
      </c>
      <c r="N239" s="310">
        <f t="shared" si="47"/>
        <v>45611138.408528998</v>
      </c>
      <c r="O239" s="310">
        <f t="shared" si="47"/>
        <v>45047876.353493877</v>
      </c>
      <c r="P239" s="310">
        <f t="shared" si="47"/>
        <v>46296382.787866227</v>
      </c>
      <c r="Q239" s="310">
        <f>Q234*Q198</f>
        <v>47425996.429008596</v>
      </c>
      <c r="R239" s="310">
        <f t="shared" ref="Q239:V242" si="48">R234*R198</f>
        <v>47773527.491360016</v>
      </c>
      <c r="S239" s="310">
        <f t="shared" si="48"/>
        <v>51996926.780906305</v>
      </c>
      <c r="T239" s="310">
        <f t="shared" si="48"/>
        <v>64606795.402502142</v>
      </c>
      <c r="U239" s="310">
        <f t="shared" si="48"/>
        <v>85507250.206462502</v>
      </c>
      <c r="V239" s="311">
        <f t="shared" si="48"/>
        <v>77066036.016090229</v>
      </c>
      <c r="W239" s="332"/>
    </row>
    <row r="240" spans="3:23">
      <c r="C240" s="496" t="s">
        <v>421</v>
      </c>
      <c r="D240" s="498"/>
      <c r="E240" s="96"/>
      <c r="F240" s="189"/>
      <c r="I240" s="507">
        <f t="shared" si="47"/>
        <v>7679211.2076280629</v>
      </c>
      <c r="J240" s="310">
        <f t="shared" si="47"/>
        <v>8633014.1627299078</v>
      </c>
      <c r="K240" s="310">
        <f t="shared" si="47"/>
        <v>9309930.0243184865</v>
      </c>
      <c r="L240" s="310">
        <f t="shared" si="47"/>
        <v>8994392.9611053113</v>
      </c>
      <c r="M240" s="310">
        <f t="shared" si="47"/>
        <v>9711226.632365698</v>
      </c>
      <c r="N240" s="310">
        <f t="shared" si="47"/>
        <v>9777814.4793827496</v>
      </c>
      <c r="O240" s="310">
        <f t="shared" si="47"/>
        <v>9660829.5986674968</v>
      </c>
      <c r="P240" s="310">
        <f t="shared" si="47"/>
        <v>9934875.157221809</v>
      </c>
      <c r="Q240" s="310">
        <f t="shared" si="48"/>
        <v>10187360.360082686</v>
      </c>
      <c r="R240" s="310">
        <f t="shared" si="48"/>
        <v>10283736.355401125</v>
      </c>
      <c r="S240" s="310">
        <f t="shared" si="48"/>
        <v>11245079.106886391</v>
      </c>
      <c r="T240" s="310">
        <f t="shared" si="48"/>
        <v>14053171.475328742</v>
      </c>
      <c r="U240" s="310">
        <f t="shared" si="48"/>
        <v>18731756.734543588</v>
      </c>
      <c r="V240" s="311">
        <f t="shared" si="48"/>
        <v>17016416.297657195</v>
      </c>
      <c r="W240" s="332"/>
    </row>
    <row r="241" spans="3:23">
      <c r="C241" s="496" t="s">
        <v>423</v>
      </c>
      <c r="D241" s="498"/>
      <c r="E241" s="96"/>
      <c r="F241" s="189"/>
      <c r="I241" s="507">
        <f t="shared" si="47"/>
        <v>6089685.97019557</v>
      </c>
      <c r="J241" s="310">
        <f t="shared" si="47"/>
        <v>6674763.833665885</v>
      </c>
      <c r="K241" s="310">
        <f t="shared" si="47"/>
        <v>7127004.1392149413</v>
      </c>
      <c r="L241" s="310">
        <f t="shared" si="47"/>
        <v>5559440.5026995791</v>
      </c>
      <c r="M241" s="310">
        <f t="shared" si="47"/>
        <v>5825333.2998031797</v>
      </c>
      <c r="N241" s="310">
        <f t="shared" si="47"/>
        <v>5481487.4152434068</v>
      </c>
      <c r="O241" s="310">
        <f t="shared" si="47"/>
        <v>5052815.3903503707</v>
      </c>
      <c r="P241" s="310">
        <f t="shared" si="47"/>
        <v>5193665.4604867417</v>
      </c>
      <c r="Q241" s="310">
        <f t="shared" si="48"/>
        <v>5032326.4034255771</v>
      </c>
      <c r="R241" s="310">
        <f t="shared" si="48"/>
        <v>5028538.2539392496</v>
      </c>
      <c r="S241" s="310">
        <f t="shared" si="48"/>
        <v>5376724.5409642076</v>
      </c>
      <c r="T241" s="310">
        <f t="shared" si="48"/>
        <v>5957481.9258144004</v>
      </c>
      <c r="U241" s="310">
        <f t="shared" si="48"/>
        <v>8175522.3164956551</v>
      </c>
      <c r="V241" s="311">
        <f t="shared" si="48"/>
        <v>6834890.6240193415</v>
      </c>
      <c r="W241" s="332"/>
    </row>
    <row r="242" spans="3:23">
      <c r="C242" s="496" t="s">
        <v>426</v>
      </c>
      <c r="D242" s="498"/>
      <c r="E242" s="96"/>
      <c r="F242" s="189"/>
      <c r="I242" s="507">
        <f t="shared" si="47"/>
        <v>2559737.0692093545</v>
      </c>
      <c r="J242" s="310">
        <f t="shared" si="47"/>
        <v>2877671.3875766359</v>
      </c>
      <c r="K242" s="310">
        <f t="shared" si="47"/>
        <v>3103310.0081061628</v>
      </c>
      <c r="L242" s="310">
        <f t="shared" si="47"/>
        <v>2998130.9870351041</v>
      </c>
      <c r="M242" s="310">
        <f t="shared" si="47"/>
        <v>3237075.5441218996</v>
      </c>
      <c r="N242" s="310">
        <f t="shared" si="47"/>
        <v>3259271.4931275835</v>
      </c>
      <c r="O242" s="310">
        <f t="shared" si="47"/>
        <v>3220276.5328891659</v>
      </c>
      <c r="P242" s="310">
        <f t="shared" si="47"/>
        <v>3311625.0524072703</v>
      </c>
      <c r="Q242" s="310">
        <f t="shared" si="48"/>
        <v>3395786.7866942286</v>
      </c>
      <c r="R242" s="310">
        <f t="shared" si="48"/>
        <v>3427912.1184670418</v>
      </c>
      <c r="S242" s="310">
        <f t="shared" si="48"/>
        <v>3748359.7022954635</v>
      </c>
      <c r="T242" s="310">
        <f t="shared" si="48"/>
        <v>4684390.4917762475</v>
      </c>
      <c r="U242" s="310">
        <f t="shared" si="48"/>
        <v>6243918.911514529</v>
      </c>
      <c r="V242" s="311">
        <f t="shared" si="48"/>
        <v>5672138.7658857321</v>
      </c>
      <c r="W242" s="332"/>
    </row>
    <row r="243" spans="3:23">
      <c r="C243" s="496" t="s">
        <v>241</v>
      </c>
      <c r="D243" s="498"/>
      <c r="E243" s="96"/>
      <c r="F243" s="189"/>
      <c r="I243" s="508">
        <f t="shared" ref="I243:P243" si="49">SUM(I238:I242)</f>
        <v>59090681.103153214</v>
      </c>
      <c r="J243" s="359">
        <f t="shared" si="49"/>
        <v>65757379.94344756</v>
      </c>
      <c r="K243" s="359">
        <f t="shared" si="49"/>
        <v>69987771.407453939</v>
      </c>
      <c r="L243" s="359">
        <f t="shared" si="49"/>
        <v>63429047.112100974</v>
      </c>
      <c r="M243" s="359">
        <f t="shared" si="49"/>
        <v>69672365.618814752</v>
      </c>
      <c r="N243" s="359">
        <f t="shared" si="49"/>
        <v>72009627.001691565</v>
      </c>
      <c r="O243" s="359">
        <f t="shared" si="49"/>
        <v>72282351.083747998</v>
      </c>
      <c r="P243" s="359">
        <f t="shared" si="49"/>
        <v>71361102.711634681</v>
      </c>
      <c r="Q243" s="359">
        <f t="shared" ref="Q243:V243" si="50">SUM(Q238:Q242)</f>
        <v>73566782.178838059</v>
      </c>
      <c r="R243" s="359">
        <f t="shared" si="50"/>
        <v>73813020.012320831</v>
      </c>
      <c r="S243" s="359">
        <f t="shared" si="50"/>
        <v>80255462.283737168</v>
      </c>
      <c r="T243" s="359">
        <f t="shared" si="50"/>
        <v>104025571.35401155</v>
      </c>
      <c r="U243" s="359">
        <f t="shared" si="50"/>
        <v>130044510.01141608</v>
      </c>
      <c r="V243" s="422">
        <f t="shared" si="50"/>
        <v>106589481.70365249</v>
      </c>
      <c r="W243" s="332"/>
    </row>
    <row r="244" spans="3:23">
      <c r="C244" s="472" t="s">
        <v>325</v>
      </c>
      <c r="D244" s="467"/>
      <c r="E244" s="467"/>
      <c r="F244" s="515"/>
      <c r="I244" s="388"/>
      <c r="J244" s="467"/>
      <c r="K244" s="467"/>
      <c r="L244" s="467"/>
      <c r="M244" s="467"/>
      <c r="N244" s="467"/>
      <c r="O244" s="467"/>
      <c r="P244" s="467"/>
      <c r="Q244" s="468"/>
      <c r="R244" s="468"/>
      <c r="S244" s="468"/>
      <c r="T244" s="468"/>
      <c r="U244" s="1098"/>
      <c r="V244" s="314"/>
      <c r="W244" s="1103"/>
    </row>
    <row r="245" spans="3:23">
      <c r="C245" s="497" t="s">
        <v>341</v>
      </c>
      <c r="D245" s="499"/>
      <c r="E245" s="96"/>
      <c r="F245" s="189"/>
      <c r="I245" s="505">
        <f>I66</f>
        <v>111348156.12346938</v>
      </c>
      <c r="J245" s="319">
        <f t="shared" ref="J245:V245" si="51">J66</f>
        <v>121148830.85498025</v>
      </c>
      <c r="K245" s="319">
        <f t="shared" si="51"/>
        <v>135889078.3883563</v>
      </c>
      <c r="L245" s="319">
        <f t="shared" si="51"/>
        <v>124014934.06185867</v>
      </c>
      <c r="M245" s="319">
        <f t="shared" si="51"/>
        <v>129226814.65486352</v>
      </c>
      <c r="N245" s="319">
        <f t="shared" si="51"/>
        <v>135823816.66111872</v>
      </c>
      <c r="O245" s="319">
        <f t="shared" si="51"/>
        <v>152433793.00793076</v>
      </c>
      <c r="P245" s="319">
        <f t="shared" si="51"/>
        <v>159332405.77378345</v>
      </c>
      <c r="Q245" s="319">
        <f t="shared" si="51"/>
        <v>165225748.80632997</v>
      </c>
      <c r="R245" s="319">
        <f t="shared" si="51"/>
        <v>156406154.55137894</v>
      </c>
      <c r="S245" s="319">
        <f t="shared" si="51"/>
        <v>166645292.96055841</v>
      </c>
      <c r="T245" s="319">
        <f t="shared" si="51"/>
        <v>225840724.85632241</v>
      </c>
      <c r="U245" s="319">
        <f t="shared" si="51"/>
        <v>347044952.84827149</v>
      </c>
      <c r="V245" s="423">
        <f t="shared" si="51"/>
        <v>325078948.19280851</v>
      </c>
      <c r="W245" s="332"/>
    </row>
    <row r="246" spans="3:23">
      <c r="C246" s="187" t="s">
        <v>420</v>
      </c>
      <c r="D246" s="499"/>
      <c r="E246" s="96"/>
      <c r="F246" s="189"/>
      <c r="I246" s="506">
        <f t="shared" ref="I246:P250" si="52">I$245*$D197</f>
        <v>63468448.990377545</v>
      </c>
      <c r="J246" s="312">
        <f t="shared" si="52"/>
        <v>69054833.587338731</v>
      </c>
      <c r="K246" s="312">
        <f t="shared" si="52"/>
        <v>77456774.681363076</v>
      </c>
      <c r="L246" s="312">
        <f t="shared" si="52"/>
        <v>70688512.415259436</v>
      </c>
      <c r="M246" s="312">
        <f t="shared" si="52"/>
        <v>73659284.3532722</v>
      </c>
      <c r="N246" s="312">
        <f t="shared" si="52"/>
        <v>77419575.496837661</v>
      </c>
      <c r="O246" s="312">
        <f t="shared" si="52"/>
        <v>86887262.014520526</v>
      </c>
      <c r="P246" s="312">
        <f t="shared" si="52"/>
        <v>90819471.291056558</v>
      </c>
      <c r="Q246" s="312">
        <f t="shared" ref="Q246:V250" si="53">Q$245*$D197</f>
        <v>94178676.819608077</v>
      </c>
      <c r="R246" s="312">
        <f t="shared" si="53"/>
        <v>89151508.09428598</v>
      </c>
      <c r="S246" s="312">
        <f t="shared" si="53"/>
        <v>94987816.987518281</v>
      </c>
      <c r="T246" s="312">
        <f t="shared" si="53"/>
        <v>128729213.16810375</v>
      </c>
      <c r="U246" s="312">
        <f t="shared" si="53"/>
        <v>197815623.12351474</v>
      </c>
      <c r="V246" s="313">
        <f t="shared" si="53"/>
        <v>185295000.46990085</v>
      </c>
    </row>
    <row r="247" spans="3:23">
      <c r="C247" s="187" t="s">
        <v>193</v>
      </c>
      <c r="D247" s="498"/>
      <c r="E247" s="96"/>
      <c r="F247" s="189"/>
      <c r="I247" s="506">
        <f t="shared" si="52"/>
        <v>31177483.714571431</v>
      </c>
      <c r="J247" s="312">
        <f t="shared" si="52"/>
        <v>33921672.63939447</v>
      </c>
      <c r="K247" s="312">
        <f t="shared" si="52"/>
        <v>38048941.948739767</v>
      </c>
      <c r="L247" s="312">
        <f t="shared" si="52"/>
        <v>34724181.537320428</v>
      </c>
      <c r="M247" s="312">
        <f t="shared" si="52"/>
        <v>36183508.103361793</v>
      </c>
      <c r="N247" s="312">
        <f t="shared" si="52"/>
        <v>38030668.66511324</v>
      </c>
      <c r="O247" s="312">
        <f t="shared" si="52"/>
        <v>42681462.042220615</v>
      </c>
      <c r="P247" s="312">
        <f t="shared" si="52"/>
        <v>44613073.616659366</v>
      </c>
      <c r="Q247" s="312">
        <f t="shared" si="53"/>
        <v>46263209.665772393</v>
      </c>
      <c r="R247" s="312">
        <f t="shared" si="53"/>
        <v>43793723.274386108</v>
      </c>
      <c r="S247" s="312">
        <f t="shared" si="53"/>
        <v>46660682.028956361</v>
      </c>
      <c r="T247" s="312">
        <f t="shared" si="53"/>
        <v>63235402.959770277</v>
      </c>
      <c r="U247" s="312">
        <f t="shared" si="53"/>
        <v>97172586.797516033</v>
      </c>
      <c r="V247" s="313">
        <f t="shared" si="53"/>
        <v>91022105.493986398</v>
      </c>
      <c r="W247" s="322"/>
    </row>
    <row r="248" spans="3:23">
      <c r="C248" s="187" t="s">
        <v>421</v>
      </c>
      <c r="D248" s="498"/>
      <c r="E248" s="96"/>
      <c r="F248" s="189"/>
      <c r="I248" s="506">
        <f t="shared" si="52"/>
        <v>6680889.3674081629</v>
      </c>
      <c r="J248" s="312">
        <f t="shared" si="52"/>
        <v>7268929.8512988146</v>
      </c>
      <c r="K248" s="312">
        <f t="shared" si="52"/>
        <v>8153344.7033013776</v>
      </c>
      <c r="L248" s="312">
        <f t="shared" si="52"/>
        <v>7440896.0437115198</v>
      </c>
      <c r="M248" s="312">
        <f t="shared" si="52"/>
        <v>7753608.879291811</v>
      </c>
      <c r="N248" s="312">
        <f t="shared" si="52"/>
        <v>8149428.999667123</v>
      </c>
      <c r="O248" s="312">
        <f t="shared" si="52"/>
        <v>9146027.5804758444</v>
      </c>
      <c r="P248" s="312">
        <f t="shared" si="52"/>
        <v>9559944.3464270066</v>
      </c>
      <c r="Q248" s="312">
        <f t="shared" si="53"/>
        <v>9913544.9283797983</v>
      </c>
      <c r="R248" s="312">
        <f t="shared" si="53"/>
        <v>9384369.273082735</v>
      </c>
      <c r="S248" s="312">
        <f t="shared" si="53"/>
        <v>9998717.5776335038</v>
      </c>
      <c r="T248" s="312">
        <f t="shared" si="53"/>
        <v>13550443.491379345</v>
      </c>
      <c r="U248" s="312">
        <f t="shared" si="53"/>
        <v>20822697.170896288</v>
      </c>
      <c r="V248" s="313">
        <f t="shared" si="53"/>
        <v>19504736.891568508</v>
      </c>
    </row>
    <row r="249" spans="3:23">
      <c r="C249" s="187" t="s">
        <v>423</v>
      </c>
      <c r="D249" s="498"/>
      <c r="E249" s="96"/>
      <c r="F249" s="189"/>
      <c r="I249" s="506">
        <f t="shared" si="52"/>
        <v>7794370.9286428578</v>
      </c>
      <c r="J249" s="312">
        <f t="shared" si="52"/>
        <v>8480418.1598486174</v>
      </c>
      <c r="K249" s="312">
        <f t="shared" si="52"/>
        <v>9512235.4871849418</v>
      </c>
      <c r="L249" s="312">
        <f t="shared" si="52"/>
        <v>8681045.3843301069</v>
      </c>
      <c r="M249" s="312">
        <f t="shared" si="52"/>
        <v>9045877.0258404482</v>
      </c>
      <c r="N249" s="312">
        <f t="shared" si="52"/>
        <v>9507667.1662783101</v>
      </c>
      <c r="O249" s="312">
        <f t="shared" si="52"/>
        <v>10670365.510555154</v>
      </c>
      <c r="P249" s="312">
        <f t="shared" si="52"/>
        <v>11153268.404164841</v>
      </c>
      <c r="Q249" s="312">
        <f t="shared" si="53"/>
        <v>11565802.416443098</v>
      </c>
      <c r="R249" s="312">
        <f t="shared" si="53"/>
        <v>10948430.818596527</v>
      </c>
      <c r="S249" s="312">
        <f t="shared" si="53"/>
        <v>11665170.50723909</v>
      </c>
      <c r="T249" s="312">
        <f t="shared" si="53"/>
        <v>15808850.739942569</v>
      </c>
      <c r="U249" s="312">
        <f t="shared" si="53"/>
        <v>24293146.699379008</v>
      </c>
      <c r="V249" s="313">
        <f t="shared" si="53"/>
        <v>22755526.373496599</v>
      </c>
    </row>
    <row r="250" spans="3:23">
      <c r="C250" s="187" t="s">
        <v>426</v>
      </c>
      <c r="D250" s="498"/>
      <c r="E250" s="96"/>
      <c r="F250" s="189"/>
      <c r="I250" s="506">
        <f t="shared" si="52"/>
        <v>2226963.1224693875</v>
      </c>
      <c r="J250" s="312">
        <f t="shared" si="52"/>
        <v>2422976.617099605</v>
      </c>
      <c r="K250" s="312">
        <f t="shared" si="52"/>
        <v>2717781.567767126</v>
      </c>
      <c r="L250" s="312">
        <f t="shared" si="52"/>
        <v>2480298.6812371733</v>
      </c>
      <c r="M250" s="312">
        <f t="shared" si="52"/>
        <v>2584536.2930972707</v>
      </c>
      <c r="N250" s="312">
        <f t="shared" si="52"/>
        <v>2716476.3332223743</v>
      </c>
      <c r="O250" s="312">
        <f t="shared" si="52"/>
        <v>3048675.8601586153</v>
      </c>
      <c r="P250" s="312">
        <f t="shared" si="52"/>
        <v>3186648.115475669</v>
      </c>
      <c r="Q250" s="312">
        <f t="shared" si="53"/>
        <v>3304514.9761265996</v>
      </c>
      <c r="R250" s="312">
        <f t="shared" si="53"/>
        <v>3128123.0910275788</v>
      </c>
      <c r="S250" s="312">
        <f t="shared" si="53"/>
        <v>3332905.8592111683</v>
      </c>
      <c r="T250" s="312">
        <f t="shared" si="53"/>
        <v>4516814.497126448</v>
      </c>
      <c r="U250" s="312">
        <f t="shared" si="53"/>
        <v>6940899.0569654303</v>
      </c>
      <c r="V250" s="313">
        <f t="shared" si="53"/>
        <v>6501578.96385617</v>
      </c>
    </row>
    <row r="251" spans="3:23">
      <c r="C251" s="496" t="s">
        <v>420</v>
      </c>
      <c r="D251" s="498"/>
      <c r="E251" s="96"/>
      <c r="F251" s="189"/>
      <c r="I251" s="507">
        <f t="shared" ref="I251:P251" si="54">I246*I197</f>
        <v>6025361.27110596</v>
      </c>
      <c r="J251" s="310">
        <f t="shared" si="54"/>
        <v>6133517.7737689596</v>
      </c>
      <c r="K251" s="310">
        <f t="shared" si="54"/>
        <v>6131420.0849575158</v>
      </c>
      <c r="L251" s="310">
        <f t="shared" si="54"/>
        <v>3229086.053653609</v>
      </c>
      <c r="M251" s="310">
        <f t="shared" si="54"/>
        <v>4462604.2727622092</v>
      </c>
      <c r="N251" s="310">
        <f t="shared" si="54"/>
        <v>6567603.5913017699</v>
      </c>
      <c r="O251" s="310">
        <f t="shared" si="54"/>
        <v>8804949.4392239582</v>
      </c>
      <c r="P251" s="310">
        <f t="shared" si="54"/>
        <v>6374551.1627058201</v>
      </c>
      <c r="Q251" s="310">
        <f t="shared" ref="Q251:V251" si="55">Q246*Q197</f>
        <v>7323047.1833904097</v>
      </c>
      <c r="R251" s="310">
        <f t="shared" si="55"/>
        <v>6660942.932879339</v>
      </c>
      <c r="S251" s="310">
        <f t="shared" si="55"/>
        <v>7014055.1749131531</v>
      </c>
      <c r="T251" s="310">
        <f t="shared" si="55"/>
        <v>14197015.925721299</v>
      </c>
      <c r="U251" s="310">
        <f t="shared" si="55"/>
        <v>12657035.913570721</v>
      </c>
      <c r="V251" s="311">
        <f t="shared" si="55"/>
        <v>0</v>
      </c>
    </row>
    <row r="252" spans="3:23">
      <c r="C252" s="496" t="s">
        <v>193</v>
      </c>
      <c r="D252" s="498"/>
      <c r="E252" s="96"/>
      <c r="F252" s="189"/>
      <c r="I252" s="507">
        <f t="shared" ref="I252:P255" si="56">I247*I198</f>
        <v>31177483.714571431</v>
      </c>
      <c r="J252" s="310">
        <f t="shared" si="56"/>
        <v>33921672.63939447</v>
      </c>
      <c r="K252" s="310">
        <f t="shared" si="56"/>
        <v>38048941.948739767</v>
      </c>
      <c r="L252" s="310">
        <f t="shared" si="56"/>
        <v>34724181.537320428</v>
      </c>
      <c r="M252" s="310">
        <f t="shared" si="56"/>
        <v>36175809.484616391</v>
      </c>
      <c r="N252" s="310">
        <f t="shared" si="56"/>
        <v>38015114.199401543</v>
      </c>
      <c r="O252" s="310">
        <f t="shared" si="56"/>
        <v>42647385.026618049</v>
      </c>
      <c r="P252" s="310">
        <f t="shared" si="56"/>
        <v>44549210.321093597</v>
      </c>
      <c r="Q252" s="310">
        <f>Q247*Q198</f>
        <v>46151282.545613267</v>
      </c>
      <c r="R252" s="310">
        <f t="shared" ref="Q252:V255" si="57">R247*R198</f>
        <v>43595480.08260905</v>
      </c>
      <c r="S252" s="310">
        <f t="shared" si="57"/>
        <v>46233786.427414842</v>
      </c>
      <c r="T252" s="310">
        <f t="shared" si="57"/>
        <v>62295598.669497684</v>
      </c>
      <c r="U252" s="310">
        <f t="shared" si="57"/>
        <v>95052033.944140971</v>
      </c>
      <c r="V252" s="311">
        <f t="shared" si="57"/>
        <v>88335447.927242771</v>
      </c>
    </row>
    <row r="253" spans="3:23">
      <c r="C253" s="496" t="s">
        <v>421</v>
      </c>
      <c r="D253" s="498"/>
      <c r="E253" s="96"/>
      <c r="F253" s="189"/>
      <c r="I253" s="507">
        <f t="shared" si="56"/>
        <v>6680889.3674081629</v>
      </c>
      <c r="J253" s="310">
        <f t="shared" si="56"/>
        <v>7268929.8512988146</v>
      </c>
      <c r="K253" s="310">
        <f t="shared" si="56"/>
        <v>8153344.7033013776</v>
      </c>
      <c r="L253" s="310">
        <f t="shared" si="56"/>
        <v>7440896.0437115198</v>
      </c>
      <c r="M253" s="310">
        <f t="shared" si="56"/>
        <v>7753608.879291811</v>
      </c>
      <c r="N253" s="310">
        <f t="shared" si="56"/>
        <v>8149428.999667123</v>
      </c>
      <c r="O253" s="310">
        <f t="shared" si="56"/>
        <v>9146027.5804758444</v>
      </c>
      <c r="P253" s="310">
        <f t="shared" si="56"/>
        <v>9559944.3464270066</v>
      </c>
      <c r="Q253" s="310">
        <f t="shared" si="57"/>
        <v>9913544.9283797983</v>
      </c>
      <c r="R253" s="310">
        <f t="shared" si="57"/>
        <v>9384369.273082735</v>
      </c>
      <c r="S253" s="310">
        <f t="shared" si="57"/>
        <v>9998717.5776335038</v>
      </c>
      <c r="T253" s="310">
        <f t="shared" si="57"/>
        <v>13550443.491379345</v>
      </c>
      <c r="U253" s="310">
        <f t="shared" si="57"/>
        <v>20822697.170896288</v>
      </c>
      <c r="V253" s="311">
        <f t="shared" si="57"/>
        <v>19504736.891568508</v>
      </c>
    </row>
    <row r="254" spans="3:23">
      <c r="C254" s="496" t="s">
        <v>423</v>
      </c>
      <c r="D254" s="498"/>
      <c r="E254" s="96"/>
      <c r="F254" s="189"/>
      <c r="I254" s="507">
        <f t="shared" si="56"/>
        <v>5298007.4579431694</v>
      </c>
      <c r="J254" s="310">
        <f t="shared" si="56"/>
        <v>5620098.5155758513</v>
      </c>
      <c r="K254" s="310">
        <f t="shared" si="56"/>
        <v>6241606.6820146553</v>
      </c>
      <c r="L254" s="310">
        <f t="shared" si="56"/>
        <v>4599222.9848831622</v>
      </c>
      <c r="M254" s="310">
        <f t="shared" si="56"/>
        <v>4651045.4042596295</v>
      </c>
      <c r="N254" s="310">
        <f t="shared" si="56"/>
        <v>4568607.0846698014</v>
      </c>
      <c r="O254" s="310">
        <f t="shared" si="56"/>
        <v>4783563.1968471343</v>
      </c>
      <c r="P254" s="310">
        <f t="shared" si="56"/>
        <v>4997662.4739085184</v>
      </c>
      <c r="Q254" s="310">
        <f t="shared" si="57"/>
        <v>4897067.7517317608</v>
      </c>
      <c r="R254" s="310">
        <f t="shared" si="57"/>
        <v>4588766.0134348068</v>
      </c>
      <c r="S254" s="310">
        <f t="shared" si="57"/>
        <v>4780788.9714986421</v>
      </c>
      <c r="T254" s="310">
        <f t="shared" si="57"/>
        <v>5744363.2797324425</v>
      </c>
      <c r="U254" s="310">
        <f t="shared" si="57"/>
        <v>9088118.5263503529</v>
      </c>
      <c r="V254" s="311">
        <f t="shared" si="57"/>
        <v>7834360.7121612411</v>
      </c>
    </row>
    <row r="255" spans="3:23">
      <c r="C255" s="496" t="s">
        <v>426</v>
      </c>
      <c r="D255" s="498"/>
      <c r="E255" s="96"/>
      <c r="F255" s="189"/>
      <c r="I255" s="507">
        <f t="shared" si="56"/>
        <v>2226963.1224693875</v>
      </c>
      <c r="J255" s="310">
        <f t="shared" si="56"/>
        <v>2422976.617099605</v>
      </c>
      <c r="K255" s="310">
        <f t="shared" si="56"/>
        <v>2717781.567767126</v>
      </c>
      <c r="L255" s="310">
        <f t="shared" si="56"/>
        <v>2480298.6812371733</v>
      </c>
      <c r="M255" s="310">
        <f t="shared" si="56"/>
        <v>2584536.2930972707</v>
      </c>
      <c r="N255" s="310">
        <f t="shared" si="56"/>
        <v>2716476.3332223743</v>
      </c>
      <c r="O255" s="310">
        <f t="shared" si="56"/>
        <v>3048675.8601586153</v>
      </c>
      <c r="P255" s="310">
        <f t="shared" si="56"/>
        <v>3186648.115475669</v>
      </c>
      <c r="Q255" s="310">
        <f t="shared" si="57"/>
        <v>3304514.9761265996</v>
      </c>
      <c r="R255" s="310">
        <f t="shared" si="57"/>
        <v>3128123.0910275788</v>
      </c>
      <c r="S255" s="310">
        <f t="shared" si="57"/>
        <v>3332905.8592111683</v>
      </c>
      <c r="T255" s="310">
        <f t="shared" si="57"/>
        <v>4516814.497126448</v>
      </c>
      <c r="U255" s="310">
        <f t="shared" si="57"/>
        <v>6940899.0569654303</v>
      </c>
      <c r="V255" s="311">
        <f t="shared" si="57"/>
        <v>6501578.96385617</v>
      </c>
    </row>
    <row r="256" spans="3:23">
      <c r="C256" s="496" t="s">
        <v>241</v>
      </c>
      <c r="D256" s="498"/>
      <c r="E256" s="96"/>
      <c r="F256" s="189"/>
      <c r="I256" s="508">
        <f t="shared" ref="I256:P256" si="58">SUM(I251:I255)</f>
        <v>51408704.933498114</v>
      </c>
      <c r="J256" s="359">
        <f t="shared" si="58"/>
        <v>55367195.397137702</v>
      </c>
      <c r="K256" s="359">
        <f t="shared" si="58"/>
        <v>61293094.98678045</v>
      </c>
      <c r="L256" s="359">
        <f t="shared" si="58"/>
        <v>52473685.300805889</v>
      </c>
      <c r="M256" s="359">
        <f t="shared" si="58"/>
        <v>55627604.334027313</v>
      </c>
      <c r="N256" s="359">
        <f t="shared" si="58"/>
        <v>60017230.208262607</v>
      </c>
      <c r="O256" s="359">
        <f t="shared" si="58"/>
        <v>68430601.103323609</v>
      </c>
      <c r="P256" s="359">
        <f t="shared" si="58"/>
        <v>68668016.419610605</v>
      </c>
      <c r="Q256" s="359">
        <f t="shared" ref="Q256:V256" si="59">SUM(Q251:Q255)</f>
        <v>71589457.385241821</v>
      </c>
      <c r="R256" s="359">
        <f t="shared" si="59"/>
        <v>67357681.393033504</v>
      </c>
      <c r="S256" s="359">
        <f t="shared" si="59"/>
        <v>71360254.010671303</v>
      </c>
      <c r="T256" s="359">
        <f t="shared" si="59"/>
        <v>100304235.86345722</v>
      </c>
      <c r="U256" s="359">
        <f t="shared" si="59"/>
        <v>144560784.61192378</v>
      </c>
      <c r="V256" s="422">
        <f t="shared" si="59"/>
        <v>122176124.4948287</v>
      </c>
    </row>
    <row r="257" spans="1:24">
      <c r="C257" s="472" t="s">
        <v>326</v>
      </c>
      <c r="D257" s="467"/>
      <c r="E257" s="467"/>
      <c r="F257" s="515"/>
      <c r="I257" s="388"/>
      <c r="J257" s="467"/>
      <c r="K257" s="467"/>
      <c r="L257" s="467"/>
      <c r="M257" s="467"/>
      <c r="N257" s="467"/>
      <c r="O257" s="467"/>
      <c r="P257" s="467"/>
      <c r="Q257" s="468"/>
      <c r="R257" s="468"/>
      <c r="S257" s="468"/>
      <c r="T257" s="468"/>
      <c r="U257" s="1098"/>
      <c r="V257" s="314"/>
    </row>
    <row r="258" spans="1:24">
      <c r="C258" s="497" t="s">
        <v>341</v>
      </c>
      <c r="D258" s="498"/>
      <c r="E258" s="96"/>
      <c r="F258" s="189"/>
      <c r="I258" s="505">
        <f>I75</f>
        <v>9827150.3238000013</v>
      </c>
      <c r="J258" s="319">
        <f t="shared" ref="J258:V258" si="60">J75</f>
        <v>10139001.789800001</v>
      </c>
      <c r="K258" s="319">
        <f t="shared" si="60"/>
        <v>16613377.991999997</v>
      </c>
      <c r="L258" s="319">
        <f t="shared" si="60"/>
        <v>22171613.799800001</v>
      </c>
      <c r="M258" s="319">
        <f t="shared" si="60"/>
        <v>34171136.014200009</v>
      </c>
      <c r="N258" s="319">
        <f t="shared" si="60"/>
        <v>61831638.815799989</v>
      </c>
      <c r="O258" s="319">
        <f t="shared" si="60"/>
        <v>63297149.682399981</v>
      </c>
      <c r="P258" s="319">
        <f t="shared" si="60"/>
        <v>69238723.198399991</v>
      </c>
      <c r="Q258" s="319">
        <f t="shared" si="60"/>
        <v>74440206.900599986</v>
      </c>
      <c r="R258" s="319">
        <f t="shared" si="60"/>
        <v>72416521.589399979</v>
      </c>
      <c r="S258" s="319">
        <f t="shared" si="60"/>
        <v>76654226.368599981</v>
      </c>
      <c r="T258" s="319">
        <f t="shared" si="60"/>
        <v>86279940.685599998</v>
      </c>
      <c r="U258" s="319">
        <f t="shared" si="60"/>
        <v>155732432.76779997</v>
      </c>
      <c r="V258" s="423">
        <f t="shared" si="60"/>
        <v>181578863.25759998</v>
      </c>
    </row>
    <row r="259" spans="1:24">
      <c r="C259" s="187" t="s">
        <v>420</v>
      </c>
      <c r="D259" s="498"/>
      <c r="E259" s="96"/>
      <c r="F259" s="189"/>
      <c r="I259" s="506">
        <f t="shared" ref="I259:P263" si="61">I$258*$D197</f>
        <v>5601475.6845660005</v>
      </c>
      <c r="J259" s="312">
        <f t="shared" si="61"/>
        <v>5779231.0201860005</v>
      </c>
      <c r="K259" s="312">
        <f t="shared" si="61"/>
        <v>9469625.4554399978</v>
      </c>
      <c r="L259" s="312">
        <f t="shared" si="61"/>
        <v>12637819.865885999</v>
      </c>
      <c r="M259" s="312">
        <f t="shared" si="61"/>
        <v>19477547.528094005</v>
      </c>
      <c r="N259" s="312">
        <f t="shared" si="61"/>
        <v>35244034.12500599</v>
      </c>
      <c r="O259" s="312">
        <f t="shared" si="61"/>
        <v>36079375.318967983</v>
      </c>
      <c r="P259" s="312">
        <f t="shared" si="61"/>
        <v>39466072.223087989</v>
      </c>
      <c r="Q259" s="312">
        <f t="shared" ref="Q259:V263" si="62">Q$258*$D197</f>
        <v>42430917.933341987</v>
      </c>
      <c r="R259" s="312">
        <f t="shared" si="62"/>
        <v>41277417.305957988</v>
      </c>
      <c r="S259" s="312">
        <f t="shared" si="62"/>
        <v>43692909.030101985</v>
      </c>
      <c r="T259" s="312">
        <f t="shared" si="62"/>
        <v>49179566.190791994</v>
      </c>
      <c r="U259" s="312">
        <f>U$258*$D197</f>
        <v>88767486.677645981</v>
      </c>
      <c r="V259" s="313">
        <f t="shared" si="62"/>
        <v>103499952.05683199</v>
      </c>
    </row>
    <row r="260" spans="1:24">
      <c r="C260" s="187" t="s">
        <v>193</v>
      </c>
      <c r="D260" s="498"/>
      <c r="E260" s="96"/>
      <c r="F260" s="189"/>
      <c r="I260" s="506">
        <f t="shared" si="61"/>
        <v>2751602.0906640007</v>
      </c>
      <c r="J260" s="312">
        <f t="shared" si="61"/>
        <v>2838920.5011440008</v>
      </c>
      <c r="K260" s="312">
        <f t="shared" si="61"/>
        <v>4651745.8377599996</v>
      </c>
      <c r="L260" s="312">
        <f t="shared" si="61"/>
        <v>6208051.8639440006</v>
      </c>
      <c r="M260" s="312">
        <f t="shared" si="61"/>
        <v>9567918.0839760043</v>
      </c>
      <c r="N260" s="312">
        <f t="shared" si="61"/>
        <v>17312858.868423998</v>
      </c>
      <c r="O260" s="312">
        <f t="shared" si="61"/>
        <v>17723201.911071997</v>
      </c>
      <c r="P260" s="312">
        <f t="shared" si="61"/>
        <v>19386842.495552</v>
      </c>
      <c r="Q260" s="312">
        <f t="shared" si="62"/>
        <v>20843257.932167999</v>
      </c>
      <c r="R260" s="312">
        <f t="shared" si="62"/>
        <v>20276626.045031995</v>
      </c>
      <c r="S260" s="312">
        <f t="shared" si="62"/>
        <v>21463183.383207995</v>
      </c>
      <c r="T260" s="312">
        <f t="shared" si="62"/>
        <v>24158383.391968001</v>
      </c>
      <c r="U260" s="312">
        <f t="shared" si="62"/>
        <v>43605081.174983993</v>
      </c>
      <c r="V260" s="313">
        <f t="shared" si="62"/>
        <v>50842081.712127998</v>
      </c>
      <c r="W260" s="322"/>
    </row>
    <row r="261" spans="1:24">
      <c r="C261" s="187" t="s">
        <v>421</v>
      </c>
      <c r="D261" s="498"/>
      <c r="E261" s="96"/>
      <c r="F261" s="189"/>
      <c r="I261" s="506">
        <f t="shared" si="61"/>
        <v>589629.01942800009</v>
      </c>
      <c r="J261" s="312">
        <f t="shared" si="61"/>
        <v>608340.107388</v>
      </c>
      <c r="K261" s="312">
        <f t="shared" si="61"/>
        <v>996802.67951999977</v>
      </c>
      <c r="L261" s="312">
        <f t="shared" si="61"/>
        <v>1330296.8279880001</v>
      </c>
      <c r="M261" s="312">
        <f t="shared" si="61"/>
        <v>2050268.1608520006</v>
      </c>
      <c r="N261" s="312">
        <f t="shared" si="61"/>
        <v>3709898.328947999</v>
      </c>
      <c r="O261" s="312">
        <f t="shared" si="61"/>
        <v>3797828.9809439988</v>
      </c>
      <c r="P261" s="312">
        <f t="shared" si="61"/>
        <v>4154323.3919039993</v>
      </c>
      <c r="Q261" s="312">
        <f t="shared" si="62"/>
        <v>4466412.4140359992</v>
      </c>
      <c r="R261" s="312">
        <f t="shared" si="62"/>
        <v>4344991.295363999</v>
      </c>
      <c r="S261" s="312">
        <f t="shared" si="62"/>
        <v>4599253.5821159985</v>
      </c>
      <c r="T261" s="312">
        <f t="shared" si="62"/>
        <v>5176796.4411359997</v>
      </c>
      <c r="U261" s="312">
        <f t="shared" si="62"/>
        <v>9343945.9660679977</v>
      </c>
      <c r="V261" s="313">
        <f t="shared" si="62"/>
        <v>10894731.795455998</v>
      </c>
    </row>
    <row r="262" spans="1:24">
      <c r="C262" s="187" t="s">
        <v>423</v>
      </c>
      <c r="D262" s="498"/>
      <c r="E262" s="96"/>
      <c r="F262" s="189"/>
      <c r="I262" s="506">
        <f t="shared" si="61"/>
        <v>687900.52266600018</v>
      </c>
      <c r="J262" s="312">
        <f t="shared" si="61"/>
        <v>709730.1252860002</v>
      </c>
      <c r="K262" s="312">
        <f t="shared" si="61"/>
        <v>1162936.4594399999</v>
      </c>
      <c r="L262" s="312">
        <f t="shared" si="61"/>
        <v>1552012.9659860001</v>
      </c>
      <c r="M262" s="312">
        <f t="shared" si="61"/>
        <v>2391979.5209940011</v>
      </c>
      <c r="N262" s="312">
        <f t="shared" si="61"/>
        <v>4328214.7171059996</v>
      </c>
      <c r="O262" s="312">
        <f t="shared" si="61"/>
        <v>4430800.4777679993</v>
      </c>
      <c r="P262" s="312">
        <f t="shared" si="61"/>
        <v>4846710.6238879999</v>
      </c>
      <c r="Q262" s="312">
        <f t="shared" si="62"/>
        <v>5210814.4830419999</v>
      </c>
      <c r="R262" s="312">
        <f t="shared" si="62"/>
        <v>5069156.5112579986</v>
      </c>
      <c r="S262" s="312">
        <f t="shared" si="62"/>
        <v>5365795.8458019989</v>
      </c>
      <c r="T262" s="312">
        <f t="shared" si="62"/>
        <v>6039595.8479920002</v>
      </c>
      <c r="U262" s="312">
        <f t="shared" si="62"/>
        <v>10901270.293745998</v>
      </c>
      <c r="V262" s="313">
        <f t="shared" si="62"/>
        <v>12710520.428032</v>
      </c>
    </row>
    <row r="263" spans="1:24">
      <c r="C263" s="187" t="s">
        <v>426</v>
      </c>
      <c r="D263" s="498"/>
      <c r="E263" s="96"/>
      <c r="F263" s="189"/>
      <c r="I263" s="506">
        <f t="shared" si="61"/>
        <v>196543.00647600004</v>
      </c>
      <c r="J263" s="312">
        <f t="shared" si="61"/>
        <v>202780.03579600004</v>
      </c>
      <c r="K263" s="312">
        <f t="shared" si="61"/>
        <v>332267.55983999994</v>
      </c>
      <c r="L263" s="312">
        <f t="shared" si="61"/>
        <v>443432.27599600004</v>
      </c>
      <c r="M263" s="312">
        <f t="shared" si="61"/>
        <v>683422.72028400016</v>
      </c>
      <c r="N263" s="312">
        <f t="shared" si="61"/>
        <v>1236632.7763159999</v>
      </c>
      <c r="O263" s="312">
        <f t="shared" si="61"/>
        <v>1265942.9936479996</v>
      </c>
      <c r="P263" s="312">
        <f t="shared" si="61"/>
        <v>1384774.4639679999</v>
      </c>
      <c r="Q263" s="312">
        <f t="shared" si="62"/>
        <v>1488804.1380119997</v>
      </c>
      <c r="R263" s="312">
        <f t="shared" si="62"/>
        <v>1448330.4317879996</v>
      </c>
      <c r="S263" s="312">
        <f t="shared" si="62"/>
        <v>1533084.5273719996</v>
      </c>
      <c r="T263" s="312">
        <f t="shared" si="62"/>
        <v>1725598.8137119999</v>
      </c>
      <c r="U263" s="312">
        <f t="shared" si="62"/>
        <v>3114648.6553559997</v>
      </c>
      <c r="V263" s="313">
        <f t="shared" si="62"/>
        <v>3631577.2651519999</v>
      </c>
    </row>
    <row r="264" spans="1:24">
      <c r="C264" s="496" t="s">
        <v>420</v>
      </c>
      <c r="D264" s="96"/>
      <c r="E264" s="96"/>
      <c r="F264" s="189"/>
      <c r="I264" s="509">
        <f t="shared" ref="I264:P264" si="63">I259*I197</f>
        <v>531774.68786014768</v>
      </c>
      <c r="J264" s="322">
        <f t="shared" si="63"/>
        <v>513316.94451475726</v>
      </c>
      <c r="K264" s="322">
        <f t="shared" si="63"/>
        <v>749608.43584518845</v>
      </c>
      <c r="L264" s="322">
        <f t="shared" si="63"/>
        <v>577301.83424697025</v>
      </c>
      <c r="M264" s="322">
        <f t="shared" si="63"/>
        <v>1180035.7223799175</v>
      </c>
      <c r="N264" s="322">
        <f t="shared" si="63"/>
        <v>2989797.3943399652</v>
      </c>
      <c r="O264" s="322">
        <f t="shared" si="63"/>
        <v>3656198.481996221</v>
      </c>
      <c r="P264" s="322">
        <f t="shared" si="63"/>
        <v>2770094.2650377615</v>
      </c>
      <c r="Q264" s="322">
        <f t="shared" ref="Q264:V264" si="64">Q259*Q197</f>
        <v>3299298.9979631649</v>
      </c>
      <c r="R264" s="322">
        <f t="shared" si="64"/>
        <v>3084036.680578087</v>
      </c>
      <c r="S264" s="322">
        <f t="shared" si="64"/>
        <v>3226355.593895446</v>
      </c>
      <c r="T264" s="322">
        <f t="shared" si="64"/>
        <v>5423812.2586749243</v>
      </c>
      <c r="U264" s="322">
        <f t="shared" si="64"/>
        <v>5679699.3538515866</v>
      </c>
      <c r="V264" s="425">
        <f t="shared" si="64"/>
        <v>0</v>
      </c>
    </row>
    <row r="265" spans="1:24">
      <c r="C265" s="496" t="s">
        <v>193</v>
      </c>
      <c r="D265" s="498"/>
      <c r="E265" s="96"/>
      <c r="F265" s="189"/>
      <c r="I265" s="509">
        <f t="shared" ref="I265:P268" si="65">I260*I198</f>
        <v>2751602.0906640007</v>
      </c>
      <c r="J265" s="322">
        <f t="shared" si="65"/>
        <v>2838920.5011440008</v>
      </c>
      <c r="K265" s="322">
        <f t="shared" si="65"/>
        <v>4651745.8377599996</v>
      </c>
      <c r="L265" s="322">
        <f t="shared" si="65"/>
        <v>6208051.8639440006</v>
      </c>
      <c r="M265" s="322">
        <f t="shared" si="65"/>
        <v>9565882.3567240927</v>
      </c>
      <c r="N265" s="322">
        <f t="shared" si="65"/>
        <v>17305777.944551434</v>
      </c>
      <c r="O265" s="322">
        <f t="shared" si="65"/>
        <v>17709051.650065154</v>
      </c>
      <c r="P265" s="322">
        <f t="shared" si="65"/>
        <v>19359090.369280249</v>
      </c>
      <c r="Q265" s="322">
        <f>Q260*Q198</f>
        <v>20792830.695235334</v>
      </c>
      <c r="R265" s="322">
        <f t="shared" ref="Q265:V268" si="66">R260*R198</f>
        <v>20184838.848943371</v>
      </c>
      <c r="S265" s="322">
        <f t="shared" si="66"/>
        <v>21266818.088425454</v>
      </c>
      <c r="T265" s="322">
        <f t="shared" si="66"/>
        <v>23799341.60057994</v>
      </c>
      <c r="U265" s="322">
        <f t="shared" si="66"/>
        <v>42653507.461093448</v>
      </c>
      <c r="V265" s="425">
        <f t="shared" si="66"/>
        <v>49341399.402049921</v>
      </c>
    </row>
    <row r="266" spans="1:24">
      <c r="C266" s="496" t="s">
        <v>421</v>
      </c>
      <c r="D266" s="498"/>
      <c r="E266" s="96"/>
      <c r="F266" s="189"/>
      <c r="I266" s="509">
        <f t="shared" si="65"/>
        <v>589629.01942800009</v>
      </c>
      <c r="J266" s="322">
        <f t="shared" si="65"/>
        <v>608340.107388</v>
      </c>
      <c r="K266" s="322">
        <f t="shared" si="65"/>
        <v>996802.67951999977</v>
      </c>
      <c r="L266" s="322">
        <f t="shared" si="65"/>
        <v>1330296.8279880001</v>
      </c>
      <c r="M266" s="322">
        <f t="shared" si="65"/>
        <v>2050268.1608520006</v>
      </c>
      <c r="N266" s="322">
        <f t="shared" si="65"/>
        <v>3709898.328947999</v>
      </c>
      <c r="O266" s="322">
        <f t="shared" si="65"/>
        <v>3797828.9809439988</v>
      </c>
      <c r="P266" s="322">
        <f t="shared" si="65"/>
        <v>4154323.3919039993</v>
      </c>
      <c r="Q266" s="322">
        <f t="shared" si="66"/>
        <v>4466412.4140359992</v>
      </c>
      <c r="R266" s="322">
        <f t="shared" si="66"/>
        <v>4344991.295363999</v>
      </c>
      <c r="S266" s="322">
        <f t="shared" si="66"/>
        <v>4599253.5821159985</v>
      </c>
      <c r="T266" s="322">
        <f t="shared" si="66"/>
        <v>5176796.4411359997</v>
      </c>
      <c r="U266" s="322">
        <f t="shared" si="66"/>
        <v>9343945.9660679977</v>
      </c>
      <c r="V266" s="425">
        <f t="shared" si="66"/>
        <v>10894731.795455998</v>
      </c>
    </row>
    <row r="267" spans="1:24">
      <c r="C267" s="496" t="s">
        <v>423</v>
      </c>
      <c r="D267" s="498"/>
      <c r="E267" s="96"/>
      <c r="F267" s="189"/>
      <c r="I267" s="509">
        <f t="shared" si="65"/>
        <v>467581.30101489119</v>
      </c>
      <c r="J267" s="322">
        <f t="shared" si="65"/>
        <v>470348.64889852505</v>
      </c>
      <c r="K267" s="322">
        <f t="shared" si="65"/>
        <v>763079.50804814254</v>
      </c>
      <c r="L267" s="322">
        <f t="shared" si="65"/>
        <v>822257.38836525229</v>
      </c>
      <c r="M267" s="322">
        <f t="shared" si="65"/>
        <v>1229864.7578805287</v>
      </c>
      <c r="N267" s="322">
        <f t="shared" si="65"/>
        <v>2079785.9322081094</v>
      </c>
      <c r="O267" s="322">
        <f t="shared" si="65"/>
        <v>1986343.7739838939</v>
      </c>
      <c r="P267" s="322">
        <f t="shared" si="65"/>
        <v>2171760.1450220426</v>
      </c>
      <c r="Q267" s="322">
        <f t="shared" si="66"/>
        <v>2206307.0633891565</v>
      </c>
      <c r="R267" s="322">
        <f t="shared" si="66"/>
        <v>2124612.5130673563</v>
      </c>
      <c r="S267" s="322">
        <f t="shared" si="66"/>
        <v>2199088.0962266284</v>
      </c>
      <c r="T267" s="322">
        <f t="shared" si="66"/>
        <v>2194570.1926309541</v>
      </c>
      <c r="U267" s="322">
        <f t="shared" si="66"/>
        <v>4078188.7066066368</v>
      </c>
      <c r="V267" s="425">
        <f t="shared" si="66"/>
        <v>4376027.178544038</v>
      </c>
    </row>
    <row r="268" spans="1:24">
      <c r="C268" s="496" t="s">
        <v>426</v>
      </c>
      <c r="D268" s="498"/>
      <c r="E268" s="96"/>
      <c r="F268" s="189"/>
      <c r="I268" s="509">
        <f t="shared" si="65"/>
        <v>196543.00647600004</v>
      </c>
      <c r="J268" s="322">
        <f t="shared" si="65"/>
        <v>202780.03579600004</v>
      </c>
      <c r="K268" s="322">
        <f t="shared" si="65"/>
        <v>332267.55983999994</v>
      </c>
      <c r="L268" s="322">
        <f t="shared" si="65"/>
        <v>443432.27599600004</v>
      </c>
      <c r="M268" s="322">
        <f t="shared" si="65"/>
        <v>683422.72028400016</v>
      </c>
      <c r="N268" s="322">
        <f t="shared" si="65"/>
        <v>1236632.7763159999</v>
      </c>
      <c r="O268" s="322">
        <f t="shared" si="65"/>
        <v>1265942.9936479996</v>
      </c>
      <c r="P268" s="322">
        <f t="shared" si="65"/>
        <v>1384774.4639679999</v>
      </c>
      <c r="Q268" s="322">
        <f t="shared" si="66"/>
        <v>1488804.1380119997</v>
      </c>
      <c r="R268" s="322">
        <f t="shared" si="66"/>
        <v>1448330.4317879996</v>
      </c>
      <c r="S268" s="322">
        <f t="shared" si="66"/>
        <v>1533084.5273719996</v>
      </c>
      <c r="T268" s="322">
        <f t="shared" si="66"/>
        <v>1725598.8137119999</v>
      </c>
      <c r="U268" s="322">
        <f t="shared" si="66"/>
        <v>3114648.6553559997</v>
      </c>
      <c r="V268" s="425">
        <f t="shared" si="66"/>
        <v>3631577.2651519999</v>
      </c>
    </row>
    <row r="269" spans="1:24">
      <c r="C269" s="496" t="s">
        <v>241</v>
      </c>
      <c r="D269" s="498"/>
      <c r="E269" s="96"/>
      <c r="F269" s="189"/>
      <c r="I269" s="508">
        <f>SUM(I264:I268)</f>
        <v>4537130.105443039</v>
      </c>
      <c r="J269" s="359">
        <f t="shared" ref="J269:P269" si="67">SUM(J264:J268)</f>
        <v>4633706.2377412831</v>
      </c>
      <c r="K269" s="359">
        <f t="shared" si="67"/>
        <v>7493504.0210133307</v>
      </c>
      <c r="L269" s="359">
        <f t="shared" si="67"/>
        <v>9381340.1905402225</v>
      </c>
      <c r="M269" s="359">
        <f t="shared" si="67"/>
        <v>14709473.71812054</v>
      </c>
      <c r="N269" s="359">
        <f t="shared" si="67"/>
        <v>27321892.376363505</v>
      </c>
      <c r="O269" s="359">
        <f t="shared" si="67"/>
        <v>28415365.880637266</v>
      </c>
      <c r="P269" s="359">
        <f t="shared" si="67"/>
        <v>29840042.635212053</v>
      </c>
      <c r="Q269" s="359">
        <f t="shared" ref="Q269:V269" si="68">SUM(Q264:Q268)</f>
        <v>32253653.308635652</v>
      </c>
      <c r="R269" s="359">
        <f t="shared" si="68"/>
        <v>31186809.769740816</v>
      </c>
      <c r="S269" s="359">
        <f t="shared" si="68"/>
        <v>32824599.888035528</v>
      </c>
      <c r="T269" s="359">
        <f t="shared" si="68"/>
        <v>38320119.306733817</v>
      </c>
      <c r="U269" s="359">
        <f t="shared" si="68"/>
        <v>64869990.142975666</v>
      </c>
      <c r="V269" s="422">
        <f t="shared" si="68"/>
        <v>68243735.641201958</v>
      </c>
    </row>
    <row r="270" spans="1:24">
      <c r="C270" s="513" t="s">
        <v>241</v>
      </c>
      <c r="D270" s="498"/>
      <c r="E270" s="96"/>
      <c r="F270" s="189"/>
      <c r="I270" s="516">
        <f>I269+I256+I243+I230+I217</f>
        <v>1167706558.8651042</v>
      </c>
      <c r="J270" s="1099">
        <f t="shared" ref="J270:P270" si="69">J269+J256+J243+J230+J217</f>
        <v>1239937865.5938847</v>
      </c>
      <c r="K270" s="1099">
        <f t="shared" si="69"/>
        <v>1344712702.3081861</v>
      </c>
      <c r="L270" s="1099">
        <f t="shared" si="69"/>
        <v>1190564954.7321193</v>
      </c>
      <c r="M270" s="1099">
        <f t="shared" si="69"/>
        <v>1239202124.4486971</v>
      </c>
      <c r="N270" s="1099">
        <f t="shared" si="69"/>
        <v>1221340304.3737843</v>
      </c>
      <c r="O270" s="1099">
        <f t="shared" si="69"/>
        <v>1276085217.4366534</v>
      </c>
      <c r="P270" s="1099">
        <f t="shared" si="69"/>
        <v>1270104232.0925417</v>
      </c>
      <c r="Q270" s="1099">
        <f t="shared" ref="Q270:V270" si="70">Q269+Q256+Q243+Q230+Q217</f>
        <v>1301662756.2351334</v>
      </c>
      <c r="R270" s="1099">
        <f t="shared" si="70"/>
        <v>1241468974.4267759</v>
      </c>
      <c r="S270" s="1099">
        <f t="shared" si="70"/>
        <v>1296377563.7452648</v>
      </c>
      <c r="T270" s="1099">
        <f t="shared" si="70"/>
        <v>1695633934.0670307</v>
      </c>
      <c r="U270" s="1099">
        <f t="shared" si="70"/>
        <v>2049697907.2939067</v>
      </c>
      <c r="V270" s="1501">
        <f t="shared" si="70"/>
        <v>1761250742.2428875</v>
      </c>
      <c r="W270" s="324"/>
      <c r="X270" s="1301">
        <f>V270/L270-1</f>
        <v>0.47934032094802781</v>
      </c>
    </row>
    <row r="271" spans="1:24">
      <c r="A271" s="818"/>
      <c r="C271" s="473" t="s">
        <v>427</v>
      </c>
      <c r="D271" s="514"/>
      <c r="E271" s="478"/>
      <c r="F271" s="479"/>
      <c r="I271" s="517">
        <f>I270-I264-I251-I238-I225-I212</f>
        <v>1030845420.5636485</v>
      </c>
      <c r="J271" s="480">
        <f t="shared" ref="J271:V271" si="71">J270-J264-J251-J238-J225-J212</f>
        <v>1102578895.4954569</v>
      </c>
      <c r="K271" s="480">
        <f t="shared" si="71"/>
        <v>1210195127.8047583</v>
      </c>
      <c r="L271" s="480">
        <f t="shared" si="71"/>
        <v>1117300866.8515756</v>
      </c>
      <c r="M271" s="480">
        <f t="shared" si="71"/>
        <v>1139789813.5719903</v>
      </c>
      <c r="N271" s="480">
        <f t="shared" si="71"/>
        <v>1087690701.7284665</v>
      </c>
      <c r="O271" s="480">
        <f t="shared" si="71"/>
        <v>1111891630.9634647</v>
      </c>
      <c r="P271" s="480">
        <f t="shared" si="71"/>
        <v>1152198621.422668</v>
      </c>
      <c r="Q271" s="480">
        <f t="shared" si="71"/>
        <v>1168512734.8642919</v>
      </c>
      <c r="R271" s="480">
        <f t="shared" si="71"/>
        <v>1118701179.8623352</v>
      </c>
      <c r="S271" s="480">
        <f t="shared" si="71"/>
        <v>1168955599.1559987</v>
      </c>
      <c r="T271" s="480">
        <f t="shared" si="71"/>
        <v>1455634678.2139354</v>
      </c>
      <c r="U271" s="1102">
        <f>U270-U264-U251-U238-U225-U212</f>
        <v>1870236374.2492814</v>
      </c>
      <c r="V271" s="1007">
        <f t="shared" si="71"/>
        <v>1761250742.2428875</v>
      </c>
      <c r="W271" s="324"/>
      <c r="X271" s="1301">
        <f>V271/L271-1</f>
        <v>0.57634420100817429</v>
      </c>
    </row>
    <row r="272" spans="1:24">
      <c r="C272" s="465"/>
      <c r="D272" s="498"/>
      <c r="E272" s="96"/>
      <c r="F272" s="96"/>
      <c r="I272" s="510"/>
      <c r="J272" s="510"/>
      <c r="K272" s="510"/>
      <c r="L272" s="510"/>
      <c r="M272" s="510"/>
      <c r="N272" s="510"/>
      <c r="O272" s="510"/>
      <c r="P272" s="510"/>
      <c r="Q272" s="510"/>
      <c r="R272" s="510"/>
      <c r="S272" s="510"/>
      <c r="T272" s="510"/>
      <c r="U272" s="510"/>
      <c r="V272" s="324"/>
      <c r="W272" s="324"/>
    </row>
    <row r="273" spans="1:23">
      <c r="C273" s="465" t="s">
        <v>1234</v>
      </c>
      <c r="D273" s="498"/>
      <c r="E273" s="96"/>
      <c r="F273" s="96"/>
      <c r="I273" s="510"/>
      <c r="J273" s="510"/>
      <c r="K273" s="510"/>
      <c r="L273" s="510"/>
      <c r="M273" s="510"/>
      <c r="N273" s="510"/>
      <c r="O273" s="510"/>
      <c r="P273" s="510"/>
      <c r="Q273" s="510"/>
      <c r="R273" s="510"/>
      <c r="S273" s="510"/>
      <c r="T273" s="510"/>
      <c r="U273" s="510"/>
      <c r="V273" s="324"/>
      <c r="W273" s="324"/>
    </row>
    <row r="274" spans="1:23">
      <c r="C274" s="1375" t="s">
        <v>193</v>
      </c>
      <c r="D274" s="512"/>
      <c r="E274" s="475"/>
      <c r="F274" s="476"/>
      <c r="I274" s="1377">
        <f>(I265+I252+I239+I226+I213)/I$271</f>
        <v>0.68698075546177306</v>
      </c>
      <c r="J274" s="1378">
        <f t="shared" ref="J274:V274" si="72">(J265+J252+J239+J226+J213)/J$271</f>
        <v>0.68899327202186422</v>
      </c>
      <c r="K274" s="1378">
        <f t="shared" si="72"/>
        <v>0.68977133157141257</v>
      </c>
      <c r="L274" s="1378">
        <f t="shared" si="72"/>
        <v>0.70513684887644745</v>
      </c>
      <c r="M274" s="1378">
        <f t="shared" si="72"/>
        <v>0.70704210771620013</v>
      </c>
      <c r="N274" s="1378">
        <f t="shared" si="72"/>
        <v>0.71123254932782709</v>
      </c>
      <c r="O274" s="1378">
        <f t="shared" si="72"/>
        <v>0.71525230897050063</v>
      </c>
      <c r="P274" s="1378">
        <f t="shared" si="72"/>
        <v>0.71515062033181132</v>
      </c>
      <c r="Q274" s="1378">
        <f t="shared" si="72"/>
        <v>0.71812448214640934</v>
      </c>
      <c r="R274" s="1378">
        <f t="shared" si="72"/>
        <v>0.71825078560404587</v>
      </c>
      <c r="S274" s="1378">
        <f t="shared" si="72"/>
        <v>0.71851620241663816</v>
      </c>
      <c r="T274" s="1378">
        <f t="shared" si="72"/>
        <v>0.72346545056899514</v>
      </c>
      <c r="U274" s="1378">
        <f t="shared" si="72"/>
        <v>0.72061662297038109</v>
      </c>
      <c r="V274" s="1379">
        <f t="shared" si="72"/>
        <v>0.72301726947462397</v>
      </c>
      <c r="W274" s="324"/>
    </row>
    <row r="275" spans="1:23">
      <c r="C275" s="496" t="s">
        <v>421</v>
      </c>
      <c r="D275" s="498"/>
      <c r="E275" s="96"/>
      <c r="F275" s="189"/>
      <c r="I275" s="1380">
        <f t="shared" ref="I275:V277" si="73">(I266+I253+I240+I227+I214)/I$271</f>
        <v>0.14721016188466565</v>
      </c>
      <c r="J275" s="1381">
        <f t="shared" si="73"/>
        <v>0.1476414154332566</v>
      </c>
      <c r="K275" s="1381">
        <f t="shared" si="73"/>
        <v>0.14780814247958837</v>
      </c>
      <c r="L275" s="1381">
        <f t="shared" si="73"/>
        <v>0.15110075333066728</v>
      </c>
      <c r="M275" s="1381">
        <f t="shared" si="73"/>
        <v>0.15154126590457578</v>
      </c>
      <c r="N275" s="1381">
        <f t="shared" si="73"/>
        <v>0.152469334501976</v>
      </c>
      <c r="O275" s="1381">
        <f t="shared" si="73"/>
        <v>0.15339081964252357</v>
      </c>
      <c r="P275" s="1381">
        <f t="shared" si="73"/>
        <v>0.15346624733430372</v>
      </c>
      <c r="Q275" s="1381">
        <f t="shared" si="73"/>
        <v>0.15425702007071501</v>
      </c>
      <c r="R275" s="1381">
        <f t="shared" si="73"/>
        <v>0.15461076675879923</v>
      </c>
      <c r="S275" s="1381">
        <f t="shared" si="73"/>
        <v>0.1553894054123531</v>
      </c>
      <c r="T275" s="1381">
        <f t="shared" si="73"/>
        <v>0.15736710000831125</v>
      </c>
      <c r="U275" s="1381">
        <f t="shared" si="73"/>
        <v>0.15786281569991711</v>
      </c>
      <c r="V275" s="1382">
        <f t="shared" si="73"/>
        <v>0.15964442293628395</v>
      </c>
      <c r="W275" s="324"/>
    </row>
    <row r="276" spans="1:23">
      <c r="C276" s="496" t="s">
        <v>423</v>
      </c>
      <c r="D276" s="498"/>
      <c r="E276" s="96"/>
      <c r="F276" s="189"/>
      <c r="I276" s="1380">
        <f t="shared" si="73"/>
        <v>0.11673902869200607</v>
      </c>
      <c r="J276" s="1381">
        <f t="shared" si="73"/>
        <v>0.11415150740046026</v>
      </c>
      <c r="K276" s="1381">
        <f t="shared" si="73"/>
        <v>0.1131511451224696</v>
      </c>
      <c r="L276" s="1381">
        <f t="shared" si="73"/>
        <v>9.3395480015996402E-2</v>
      </c>
      <c r="M276" s="1381">
        <f t="shared" si="73"/>
        <v>9.0902871077698719E-2</v>
      </c>
      <c r="N276" s="1381">
        <f t="shared" si="73"/>
        <v>8.547500466953821E-2</v>
      </c>
      <c r="O276" s="1381">
        <f t="shared" si="73"/>
        <v>8.0226598172801158E-2</v>
      </c>
      <c r="P276" s="1381">
        <f t="shared" si="73"/>
        <v>8.0227716555783729E-2</v>
      </c>
      <c r="Q276" s="1381">
        <f t="shared" si="73"/>
        <v>7.6199491092637434E-2</v>
      </c>
      <c r="R276" s="1381">
        <f t="shared" si="73"/>
        <v>7.5601525384221616E-2</v>
      </c>
      <c r="S276" s="1381">
        <f t="shared" si="73"/>
        <v>7.4297923700224644E-2</v>
      </c>
      <c r="T276" s="1381">
        <f t="shared" si="73"/>
        <v>6.6711749419923055E-2</v>
      </c>
      <c r="U276" s="1381">
        <f t="shared" si="73"/>
        <v>6.8899622763062746E-2</v>
      </c>
      <c r="V276" s="1382">
        <f t="shared" si="73"/>
        <v>6.412349994366405E-2</v>
      </c>
      <c r="W276" s="324"/>
    </row>
    <row r="277" spans="1:23">
      <c r="C277" s="496" t="s">
        <v>426</v>
      </c>
      <c r="D277" s="498"/>
      <c r="E277" s="96"/>
      <c r="F277" s="189"/>
      <c r="I277" s="1380">
        <f t="shared" si="73"/>
        <v>4.9070053961555227E-2</v>
      </c>
      <c r="J277" s="1381">
        <f t="shared" si="73"/>
        <v>4.9213805144418872E-2</v>
      </c>
      <c r="K277" s="1381">
        <f t="shared" si="73"/>
        <v>4.9269380826529464E-2</v>
      </c>
      <c r="L277" s="1381">
        <f t="shared" si="73"/>
        <v>5.0366917776889092E-2</v>
      </c>
      <c r="M277" s="1381">
        <f t="shared" si="73"/>
        <v>5.0513755301525257E-2</v>
      </c>
      <c r="N277" s="1381">
        <f t="shared" si="73"/>
        <v>5.0823111500658671E-2</v>
      </c>
      <c r="O277" s="1381">
        <f t="shared" si="73"/>
        <v>5.1130273214174529E-2</v>
      </c>
      <c r="P277" s="1381">
        <f t="shared" si="73"/>
        <v>5.1155415778101239E-2</v>
      </c>
      <c r="Q277" s="1381">
        <f t="shared" si="73"/>
        <v>5.1419006690238335E-2</v>
      </c>
      <c r="R277" s="1381">
        <f t="shared" si="73"/>
        <v>5.1536922252933076E-2</v>
      </c>
      <c r="S277" s="1381">
        <f t="shared" si="73"/>
        <v>5.1796468470784361E-2</v>
      </c>
      <c r="T277" s="1381">
        <f t="shared" si="73"/>
        <v>5.2455700002770417E-2</v>
      </c>
      <c r="U277" s="1381">
        <f t="shared" si="73"/>
        <v>5.2620938566639047E-2</v>
      </c>
      <c r="V277" s="1382">
        <f t="shared" si="73"/>
        <v>5.3214807645427978E-2</v>
      </c>
      <c r="W277" s="324"/>
    </row>
    <row r="278" spans="1:23">
      <c r="C278" s="1376" t="s">
        <v>241</v>
      </c>
      <c r="D278" s="514"/>
      <c r="E278" s="478"/>
      <c r="F278" s="479"/>
      <c r="I278" s="1383">
        <f>SUM(I274:I277)</f>
        <v>1</v>
      </c>
      <c r="J278" s="1384">
        <f t="shared" ref="J278:V278" si="74">SUM(J274:J277)</f>
        <v>1</v>
      </c>
      <c r="K278" s="1384">
        <f t="shared" si="74"/>
        <v>1</v>
      </c>
      <c r="L278" s="1384">
        <f t="shared" si="74"/>
        <v>1.0000000000000002</v>
      </c>
      <c r="M278" s="1384">
        <f t="shared" si="74"/>
        <v>0.99999999999999989</v>
      </c>
      <c r="N278" s="1384">
        <f t="shared" si="74"/>
        <v>0.99999999999999989</v>
      </c>
      <c r="O278" s="1384">
        <f t="shared" si="74"/>
        <v>0.99999999999999989</v>
      </c>
      <c r="P278" s="1384">
        <f t="shared" si="74"/>
        <v>1</v>
      </c>
      <c r="Q278" s="1384">
        <f t="shared" si="74"/>
        <v>1.0000000000000002</v>
      </c>
      <c r="R278" s="1384">
        <f t="shared" si="74"/>
        <v>0.99999999999999978</v>
      </c>
      <c r="S278" s="1384">
        <f t="shared" si="74"/>
        <v>1.0000000000000002</v>
      </c>
      <c r="T278" s="1384">
        <f t="shared" si="74"/>
        <v>0.99999999999999989</v>
      </c>
      <c r="U278" s="1384">
        <f t="shared" si="74"/>
        <v>1</v>
      </c>
      <c r="V278" s="1385">
        <f t="shared" si="74"/>
        <v>0.99999999999999989</v>
      </c>
      <c r="W278" s="324"/>
    </row>
    <row r="279" spans="1:23">
      <c r="C279" s="465"/>
      <c r="D279" s="498"/>
      <c r="E279" s="96"/>
      <c r="F279" s="96"/>
      <c r="I279" s="510"/>
      <c r="J279" s="510"/>
      <c r="K279" s="510"/>
      <c r="L279" s="510"/>
      <c r="M279" s="510"/>
      <c r="N279" s="510"/>
      <c r="O279" s="510"/>
      <c r="P279" s="510"/>
      <c r="Q279" s="510"/>
      <c r="R279" s="510"/>
      <c r="S279" s="510"/>
      <c r="T279" s="510"/>
      <c r="U279" s="510"/>
      <c r="V279" s="324"/>
      <c r="W279" s="324"/>
    </row>
    <row r="280" spans="1:23">
      <c r="C280" s="465" t="s">
        <v>1235</v>
      </c>
      <c r="D280" s="498"/>
      <c r="E280" s="96"/>
      <c r="F280" s="96"/>
      <c r="I280" s="1386">
        <f>I271/I79</f>
        <v>0.3016598193944115</v>
      </c>
      <c r="J280" s="1387">
        <f t="shared" ref="J280:U280" si="75">J271/J79</f>
        <v>0.30081727416572884</v>
      </c>
      <c r="K280" s="1387">
        <f t="shared" si="75"/>
        <v>0.3004359349252716</v>
      </c>
      <c r="L280" s="1387">
        <f t="shared" si="75"/>
        <v>0.29390532413901771</v>
      </c>
      <c r="M280" s="1387">
        <f t="shared" si="75"/>
        <v>0.29312330786631041</v>
      </c>
      <c r="N280" s="1387">
        <f t="shared" si="75"/>
        <v>0.29136894587924378</v>
      </c>
      <c r="O280" s="1387">
        <f t="shared" si="75"/>
        <v>0.28961575025870512</v>
      </c>
      <c r="P280" s="1387">
        <f t="shared" si="75"/>
        <v>0.28948522260600384</v>
      </c>
      <c r="Q280" s="1387">
        <f t="shared" si="75"/>
        <v>0.28801411468684973</v>
      </c>
      <c r="R280" s="1387">
        <f t="shared" si="75"/>
        <v>0.28734130193196511</v>
      </c>
      <c r="S280" s="1387">
        <f t="shared" si="75"/>
        <v>0.28587666063167</v>
      </c>
      <c r="T280" s="1387">
        <f t="shared" si="75"/>
        <v>0.28222955184924819</v>
      </c>
      <c r="U280" s="1387">
        <f t="shared" si="75"/>
        <v>0.281326045081637</v>
      </c>
      <c r="V280" s="1388">
        <f>V271/V79</f>
        <v>0.27822280839894198</v>
      </c>
      <c r="W280" s="324"/>
    </row>
    <row r="281" spans="1:23" ht="15.5" customHeight="1">
      <c r="C281" s="465"/>
      <c r="D281" s="498"/>
      <c r="E281" s="96"/>
      <c r="F281" s="96"/>
      <c r="I281" s="510"/>
      <c r="J281" s="510"/>
      <c r="K281" s="510"/>
      <c r="L281" s="510"/>
      <c r="M281" s="510"/>
      <c r="N281" s="510"/>
      <c r="O281" s="510"/>
      <c r="P281" s="510"/>
      <c r="Q281" s="510"/>
      <c r="R281" s="510"/>
      <c r="S281" s="510"/>
      <c r="T281" s="510"/>
      <c r="U281" s="510"/>
      <c r="V281" s="324"/>
      <c r="W281" s="324"/>
    </row>
    <row r="282" spans="1:23">
      <c r="C282" s="200" t="s">
        <v>428</v>
      </c>
      <c r="D282" s="316"/>
      <c r="Q282" s="312"/>
      <c r="R282" s="312"/>
      <c r="S282" s="312"/>
      <c r="T282" s="312"/>
      <c r="U282" s="312"/>
    </row>
    <row r="283" spans="1:23">
      <c r="D283" s="316"/>
      <c r="Q283" s="312"/>
      <c r="R283" s="312"/>
      <c r="S283" s="312"/>
      <c r="T283" s="312"/>
      <c r="U283" s="312"/>
    </row>
    <row r="284" spans="1:23">
      <c r="A284" s="120" t="s">
        <v>396</v>
      </c>
      <c r="C284" s="15" t="s">
        <v>429</v>
      </c>
      <c r="D284" s="316"/>
    </row>
    <row r="285" spans="1:23">
      <c r="C285" t="s">
        <v>430</v>
      </c>
      <c r="D285" s="316"/>
    </row>
    <row r="286" spans="1:23">
      <c r="C286" s="69" t="s">
        <v>21</v>
      </c>
      <c r="D286" s="327">
        <v>0.43</v>
      </c>
    </row>
    <row r="287" spans="1:23">
      <c r="C287" s="71" t="s">
        <v>14</v>
      </c>
      <c r="D287" s="328">
        <v>0.34</v>
      </c>
    </row>
    <row r="288" spans="1:23">
      <c r="C288" s="71" t="s">
        <v>431</v>
      </c>
      <c r="D288" s="328">
        <v>0.12</v>
      </c>
    </row>
    <row r="289" spans="3:22">
      <c r="C289" s="91" t="s">
        <v>432</v>
      </c>
      <c r="D289" s="330">
        <v>0.11</v>
      </c>
      <c r="H289" s="15" t="s">
        <v>433</v>
      </c>
      <c r="P289" s="15"/>
      <c r="Q289" s="316"/>
    </row>
    <row r="290" spans="3:22">
      <c r="C290" s="15" t="s">
        <v>434</v>
      </c>
      <c r="D290" s="316"/>
      <c r="E290" s="316"/>
      <c r="H290" s="65" t="s">
        <v>435</v>
      </c>
      <c r="I290" s="391">
        <v>2011</v>
      </c>
      <c r="J290" s="392">
        <v>2012</v>
      </c>
      <c r="K290" s="392">
        <v>2013</v>
      </c>
      <c r="L290" s="392">
        <v>2014</v>
      </c>
      <c r="M290" s="392">
        <v>2015</v>
      </c>
      <c r="N290" s="392">
        <v>2016</v>
      </c>
      <c r="O290" s="392">
        <v>2017</v>
      </c>
      <c r="P290" s="392">
        <v>2018</v>
      </c>
      <c r="Q290" s="392">
        <v>2019</v>
      </c>
      <c r="R290" s="392">
        <v>2020</v>
      </c>
      <c r="S290" s="392">
        <v>2021</v>
      </c>
      <c r="T290" s="392">
        <v>2022</v>
      </c>
      <c r="U290" s="393">
        <v>2023</v>
      </c>
      <c r="V290" s="393">
        <v>2024</v>
      </c>
    </row>
    <row r="291" spans="3:22">
      <c r="C291" s="69" t="s">
        <v>436</v>
      </c>
      <c r="D291" s="326">
        <v>0.68</v>
      </c>
      <c r="E291" s="70"/>
      <c r="F291" s="327">
        <v>0.68</v>
      </c>
      <c r="H291" s="318" t="s">
        <v>436</v>
      </c>
      <c r="I291" s="421">
        <v>1</v>
      </c>
      <c r="J291" s="326">
        <v>1</v>
      </c>
      <c r="K291" s="326">
        <v>1</v>
      </c>
      <c r="L291" s="326">
        <v>1</v>
      </c>
      <c r="M291" s="326">
        <v>1</v>
      </c>
      <c r="N291" s="326">
        <v>1</v>
      </c>
      <c r="O291" s="326">
        <v>1</v>
      </c>
      <c r="P291" s="326">
        <v>1</v>
      </c>
      <c r="Q291" s="326">
        <v>1</v>
      </c>
      <c r="R291" s="326">
        <v>1</v>
      </c>
      <c r="S291" s="326">
        <v>1</v>
      </c>
      <c r="T291" s="326">
        <v>1</v>
      </c>
      <c r="U291" s="327">
        <v>1</v>
      </c>
      <c r="V291" s="327">
        <v>1</v>
      </c>
    </row>
    <row r="292" spans="3:22">
      <c r="C292" s="71" t="s">
        <v>437</v>
      </c>
      <c r="D292" s="316">
        <v>0.21</v>
      </c>
      <c r="F292" s="328">
        <v>0.21</v>
      </c>
      <c r="H292" s="318" t="s">
        <v>437</v>
      </c>
      <c r="I292" s="360">
        <v>1</v>
      </c>
      <c r="J292" s="316">
        <v>1</v>
      </c>
      <c r="K292" s="316">
        <v>1</v>
      </c>
      <c r="L292" s="316">
        <v>1</v>
      </c>
      <c r="M292" s="316">
        <v>1</v>
      </c>
      <c r="N292" s="316">
        <v>1</v>
      </c>
      <c r="O292" s="316">
        <v>1</v>
      </c>
      <c r="P292" s="316">
        <v>1</v>
      </c>
      <c r="Q292" s="316">
        <v>1</v>
      </c>
      <c r="R292" s="316">
        <v>1</v>
      </c>
      <c r="S292" s="316">
        <v>1</v>
      </c>
      <c r="T292" s="316">
        <v>1</v>
      </c>
      <c r="U292" s="328">
        <v>1</v>
      </c>
      <c r="V292" s="328">
        <v>1</v>
      </c>
    </row>
    <row r="293" spans="3:22">
      <c r="C293" s="71" t="s">
        <v>416</v>
      </c>
      <c r="D293" s="316">
        <v>0.11</v>
      </c>
      <c r="F293" s="328">
        <v>0.11</v>
      </c>
      <c r="H293" s="318" t="s">
        <v>416</v>
      </c>
      <c r="I293" s="360">
        <v>0</v>
      </c>
      <c r="J293" s="316">
        <v>0</v>
      </c>
      <c r="K293" s="316">
        <v>0</v>
      </c>
      <c r="L293" s="316">
        <v>0</v>
      </c>
      <c r="M293" s="316">
        <v>0</v>
      </c>
      <c r="N293" s="316">
        <v>0</v>
      </c>
      <c r="O293" s="316">
        <v>0</v>
      </c>
      <c r="P293" s="316">
        <v>0</v>
      </c>
      <c r="Q293" s="316">
        <v>0</v>
      </c>
      <c r="R293" s="316">
        <v>0</v>
      </c>
      <c r="S293" s="316">
        <v>0</v>
      </c>
      <c r="T293" s="316">
        <v>0</v>
      </c>
      <c r="U293" s="328">
        <v>0</v>
      </c>
      <c r="V293" s="328">
        <v>0</v>
      </c>
    </row>
    <row r="294" spans="3:22">
      <c r="C294" s="363" t="s">
        <v>438</v>
      </c>
      <c r="D294" s="316">
        <f>F294*$D$293</f>
        <v>2.53E-2</v>
      </c>
      <c r="F294" s="328">
        <v>0.23</v>
      </c>
      <c r="H294" s="320" t="s">
        <v>438</v>
      </c>
      <c r="I294" s="316">
        <v>1</v>
      </c>
      <c r="J294" s="316">
        <v>1</v>
      </c>
      <c r="K294" s="316">
        <v>1</v>
      </c>
      <c r="L294" s="316">
        <v>1</v>
      </c>
      <c r="M294" s="316">
        <v>1</v>
      </c>
      <c r="N294" s="316">
        <v>1</v>
      </c>
      <c r="O294" s="316">
        <v>1</v>
      </c>
      <c r="P294" s="316">
        <v>1</v>
      </c>
      <c r="Q294" s="316">
        <v>1</v>
      </c>
      <c r="R294" s="316">
        <v>1</v>
      </c>
      <c r="S294" s="316">
        <v>1</v>
      </c>
      <c r="T294" s="316">
        <v>1</v>
      </c>
      <c r="U294" s="328">
        <v>1</v>
      </c>
      <c r="V294" s="328">
        <v>1</v>
      </c>
    </row>
    <row r="295" spans="3:22">
      <c r="C295" s="363" t="s">
        <v>439</v>
      </c>
      <c r="D295" s="316">
        <f>F295*$D$293</f>
        <v>5.8300000000000005E-2</v>
      </c>
      <c r="F295" s="328">
        <v>0.53</v>
      </c>
      <c r="H295" s="320" t="s">
        <v>439</v>
      </c>
      <c r="I295" s="360">
        <v>0</v>
      </c>
      <c r="J295" s="316">
        <v>0</v>
      </c>
      <c r="K295" s="316">
        <v>0</v>
      </c>
      <c r="L295" s="316">
        <v>0</v>
      </c>
      <c r="M295" s="316">
        <v>0</v>
      </c>
      <c r="N295" s="316">
        <v>0</v>
      </c>
      <c r="O295" s="316">
        <v>0</v>
      </c>
      <c r="P295" s="316">
        <v>0</v>
      </c>
      <c r="Q295" s="316">
        <v>0</v>
      </c>
      <c r="R295" s="316">
        <v>0</v>
      </c>
      <c r="S295" s="316">
        <v>0</v>
      </c>
      <c r="T295" s="316">
        <v>0</v>
      </c>
      <c r="U295" s="328">
        <v>0</v>
      </c>
      <c r="V295" s="328">
        <v>0</v>
      </c>
    </row>
    <row r="296" spans="3:22">
      <c r="C296" s="363" t="s">
        <v>440</v>
      </c>
      <c r="D296" s="316">
        <f>F296*$D$293</f>
        <v>1.21E-2</v>
      </c>
      <c r="F296" s="328">
        <v>0.11</v>
      </c>
      <c r="H296" s="320" t="s">
        <v>440</v>
      </c>
      <c r="I296" s="360">
        <v>1</v>
      </c>
      <c r="J296" s="316">
        <v>1</v>
      </c>
      <c r="K296" s="316">
        <v>1</v>
      </c>
      <c r="L296" s="316">
        <v>1</v>
      </c>
      <c r="M296" s="316">
        <v>1</v>
      </c>
      <c r="N296" s="316">
        <v>1</v>
      </c>
      <c r="O296" s="316">
        <v>1</v>
      </c>
      <c r="P296" s="316">
        <v>1</v>
      </c>
      <c r="Q296" s="316">
        <v>1</v>
      </c>
      <c r="R296" s="316">
        <v>1</v>
      </c>
      <c r="S296" s="316">
        <v>1</v>
      </c>
      <c r="T296" s="316">
        <v>1</v>
      </c>
      <c r="U296" s="328">
        <v>1</v>
      </c>
      <c r="V296" s="328">
        <v>1</v>
      </c>
    </row>
    <row r="297" spans="3:22">
      <c r="C297" s="363" t="s">
        <v>441</v>
      </c>
      <c r="D297" s="316">
        <f>F297*$D$293</f>
        <v>7.7000000000000011E-3</v>
      </c>
      <c r="F297" s="328">
        <v>7.0000000000000007E-2</v>
      </c>
      <c r="H297" s="320" t="s">
        <v>441</v>
      </c>
      <c r="I297" s="360">
        <v>0</v>
      </c>
      <c r="J297" s="316">
        <v>0</v>
      </c>
      <c r="K297" s="316">
        <v>0</v>
      </c>
      <c r="L297" s="316">
        <v>0</v>
      </c>
      <c r="M297" s="316">
        <v>0</v>
      </c>
      <c r="N297" s="316">
        <v>0</v>
      </c>
      <c r="O297" s="316">
        <v>0</v>
      </c>
      <c r="P297" s="316">
        <v>0</v>
      </c>
      <c r="Q297" s="316">
        <v>0</v>
      </c>
      <c r="R297" s="316">
        <v>0</v>
      </c>
      <c r="S297" s="316">
        <v>0</v>
      </c>
      <c r="T297" s="316">
        <v>0</v>
      </c>
      <c r="U297" s="328">
        <v>0</v>
      </c>
      <c r="V297" s="328">
        <v>0</v>
      </c>
    </row>
    <row r="298" spans="3:22">
      <c r="C298" s="364" t="s">
        <v>442</v>
      </c>
      <c r="D298" s="329">
        <f>F298*$D$293</f>
        <v>5.5000000000000005E-3</v>
      </c>
      <c r="E298" s="92"/>
      <c r="F298" s="330">
        <v>0.05</v>
      </c>
      <c r="H298" s="321" t="s">
        <v>442</v>
      </c>
      <c r="I298" s="358">
        <v>1</v>
      </c>
      <c r="J298" s="329">
        <v>1</v>
      </c>
      <c r="K298" s="329">
        <v>1</v>
      </c>
      <c r="L298" s="329">
        <v>1</v>
      </c>
      <c r="M298" s="329">
        <v>1</v>
      </c>
      <c r="N298" s="329">
        <v>1</v>
      </c>
      <c r="O298" s="329">
        <v>1</v>
      </c>
      <c r="P298" s="329">
        <v>1</v>
      </c>
      <c r="Q298" s="329">
        <v>1</v>
      </c>
      <c r="R298" s="329">
        <v>1</v>
      </c>
      <c r="S298" s="329">
        <v>1</v>
      </c>
      <c r="T298" s="329">
        <v>1</v>
      </c>
      <c r="U298" s="330">
        <v>1</v>
      </c>
      <c r="V298" s="330">
        <v>1</v>
      </c>
    </row>
    <row r="299" spans="3:22">
      <c r="C299" t="s">
        <v>443</v>
      </c>
      <c r="D299" s="316"/>
      <c r="I299" s="431"/>
      <c r="J299" s="333"/>
      <c r="U299" s="322"/>
    </row>
    <row r="300" spans="3:22">
      <c r="D300" s="316"/>
      <c r="U300" s="322"/>
    </row>
    <row r="301" spans="3:22">
      <c r="C301" s="387" t="s">
        <v>336</v>
      </c>
      <c r="D301" s="326"/>
      <c r="E301" s="70"/>
      <c r="F301" s="29"/>
      <c r="I301" s="344">
        <v>2011</v>
      </c>
      <c r="J301" s="345">
        <v>2012</v>
      </c>
      <c r="K301" s="345">
        <v>2013</v>
      </c>
      <c r="L301" s="345">
        <v>2014</v>
      </c>
      <c r="M301" s="345">
        <v>2015</v>
      </c>
      <c r="N301" s="345">
        <v>2016</v>
      </c>
      <c r="O301" s="345">
        <v>2017</v>
      </c>
      <c r="P301" s="345">
        <v>2018</v>
      </c>
      <c r="Q301" s="345">
        <v>2019</v>
      </c>
      <c r="R301" s="345">
        <v>2020</v>
      </c>
      <c r="S301" s="345">
        <v>2021</v>
      </c>
      <c r="T301" s="345">
        <v>2022</v>
      </c>
      <c r="U301" s="345">
        <v>2023</v>
      </c>
      <c r="V301" s="346">
        <v>2024</v>
      </c>
    </row>
    <row r="302" spans="3:22">
      <c r="C302" s="388" t="s">
        <v>337</v>
      </c>
      <c r="D302" s="467"/>
      <c r="E302" s="467"/>
      <c r="F302" s="515"/>
      <c r="I302" s="388"/>
      <c r="J302" s="467"/>
      <c r="K302" s="467"/>
      <c r="L302" s="467"/>
      <c r="M302" s="467"/>
      <c r="N302" s="467"/>
      <c r="O302" s="467"/>
      <c r="P302" s="467"/>
      <c r="Q302" s="467"/>
      <c r="R302" s="467"/>
      <c r="S302" s="467"/>
      <c r="T302" s="467"/>
      <c r="U302" s="467"/>
      <c r="V302" s="467"/>
    </row>
    <row r="303" spans="3:22">
      <c r="C303" s="432" t="s">
        <v>343</v>
      </c>
      <c r="D303" s="316"/>
      <c r="F303" s="31"/>
      <c r="H303" s="495"/>
      <c r="I303" s="519">
        <f t="shared" ref="I303:V303" si="76">I41</f>
        <v>324628406.63393021</v>
      </c>
      <c r="J303" s="518">
        <f t="shared" si="76"/>
        <v>350001294.7467643</v>
      </c>
      <c r="K303" s="518">
        <f t="shared" si="76"/>
        <v>342213589.70560068</v>
      </c>
      <c r="L303" s="518">
        <f t="shared" si="76"/>
        <v>326542625.8800168</v>
      </c>
      <c r="M303" s="518">
        <f t="shared" si="76"/>
        <v>282523429.31331772</v>
      </c>
      <c r="N303" s="518">
        <f t="shared" si="76"/>
        <v>258236929.42122</v>
      </c>
      <c r="O303" s="518">
        <f t="shared" si="76"/>
        <v>273232794.45404583</v>
      </c>
      <c r="P303" s="518">
        <f t="shared" si="76"/>
        <v>305520248.28381133</v>
      </c>
      <c r="Q303" s="518">
        <f t="shared" si="76"/>
        <v>300765819.21442115</v>
      </c>
      <c r="R303" s="518">
        <f t="shared" si="76"/>
        <v>238270474.49147913</v>
      </c>
      <c r="S303" s="518">
        <f t="shared" si="76"/>
        <v>287668041.10566258</v>
      </c>
      <c r="T303" s="518">
        <f t="shared" si="76"/>
        <v>358434438.11323756</v>
      </c>
      <c r="U303" s="520">
        <f t="shared" si="76"/>
        <v>357751837.35177112</v>
      </c>
      <c r="V303" s="520">
        <f t="shared" si="76"/>
        <v>346406836.9825781</v>
      </c>
    </row>
    <row r="304" spans="3:22">
      <c r="C304" s="71" t="s">
        <v>436</v>
      </c>
      <c r="D304" s="316"/>
      <c r="E304" s="316"/>
      <c r="F304" s="31"/>
      <c r="I304" s="506">
        <f t="shared" ref="I304:P305" si="77">I$303*$D291</f>
        <v>220747316.51107255</v>
      </c>
      <c r="J304" s="312">
        <f t="shared" si="77"/>
        <v>238000880.42779973</v>
      </c>
      <c r="K304" s="312">
        <f t="shared" si="77"/>
        <v>232705240.99980849</v>
      </c>
      <c r="L304" s="312">
        <f t="shared" si="77"/>
        <v>222048985.59841144</v>
      </c>
      <c r="M304" s="312">
        <f t="shared" si="77"/>
        <v>192115931.93305606</v>
      </c>
      <c r="N304" s="312">
        <f t="shared" si="77"/>
        <v>175601112.00642961</v>
      </c>
      <c r="O304" s="312">
        <f t="shared" si="77"/>
        <v>185798300.22875118</v>
      </c>
      <c r="P304" s="312">
        <f t="shared" si="77"/>
        <v>207753768.83299172</v>
      </c>
      <c r="Q304" s="312">
        <f t="shared" ref="Q304:Q311" si="78">Q$303*$D291</f>
        <v>204520757.06580639</v>
      </c>
      <c r="R304" s="312">
        <f>R$303*$D291</f>
        <v>162023922.65420583</v>
      </c>
      <c r="S304" s="312">
        <f>S$303*$D291</f>
        <v>195614267.95185056</v>
      </c>
      <c r="T304" s="312">
        <f>T$303*$D291</f>
        <v>243735417.91700155</v>
      </c>
      <c r="U304" s="313">
        <f>U$303*$D291</f>
        <v>243271249.39920437</v>
      </c>
      <c r="V304" s="313">
        <f>V$303*$D291</f>
        <v>235556649.14815313</v>
      </c>
    </row>
    <row r="305" spans="3:22">
      <c r="C305" s="71" t="s">
        <v>437</v>
      </c>
      <c r="D305" s="316"/>
      <c r="E305" s="316"/>
      <c r="F305" s="31"/>
      <c r="I305" s="506">
        <f t="shared" ref="I305:I311" si="79">I$303*$D292</f>
        <v>68171965.39312534</v>
      </c>
      <c r="J305" s="312">
        <f t="shared" si="77"/>
        <v>73500271.8968205</v>
      </c>
      <c r="K305" s="312">
        <f t="shared" si="77"/>
        <v>71864853.838176146</v>
      </c>
      <c r="L305" s="312">
        <f t="shared" si="77"/>
        <v>68573951.434803531</v>
      </c>
      <c r="M305" s="312">
        <f t="shared" si="77"/>
        <v>59329920.155796722</v>
      </c>
      <c r="N305" s="312">
        <f t="shared" si="77"/>
        <v>54229755.178456202</v>
      </c>
      <c r="O305" s="312">
        <f t="shared" si="77"/>
        <v>57378886.835349619</v>
      </c>
      <c r="P305" s="312">
        <f t="shared" si="77"/>
        <v>64159252.139600374</v>
      </c>
      <c r="Q305" s="312">
        <f t="shared" si="78"/>
        <v>63160822.035028443</v>
      </c>
      <c r="R305" s="312">
        <f t="shared" ref="R305:T311" si="80">R$303*$D292</f>
        <v>50036799.643210612</v>
      </c>
      <c r="S305" s="312">
        <f t="shared" si="80"/>
        <v>60410288.63218914</v>
      </c>
      <c r="T305" s="312">
        <f t="shared" si="80"/>
        <v>75271232.003779888</v>
      </c>
      <c r="U305" s="313">
        <f>U$303*$D292</f>
        <v>75127885.843871936</v>
      </c>
      <c r="V305" s="313">
        <f>V$303*$D292</f>
        <v>72745435.766341403</v>
      </c>
    </row>
    <row r="306" spans="3:22">
      <c r="C306" s="71" t="s">
        <v>416</v>
      </c>
      <c r="D306" s="316"/>
      <c r="E306" s="316"/>
      <c r="F306" s="31"/>
      <c r="I306" s="506">
        <f t="shared" si="79"/>
        <v>35709124.72973232</v>
      </c>
      <c r="J306" s="312">
        <f t="shared" ref="J306:P311" si="81">J$303*$D293</f>
        <v>38500142.42214407</v>
      </c>
      <c r="K306" s="312">
        <f t="shared" si="81"/>
        <v>37643494.867616072</v>
      </c>
      <c r="L306" s="312">
        <f t="shared" si="81"/>
        <v>35919688.846801847</v>
      </c>
      <c r="M306" s="312">
        <f t="shared" si="81"/>
        <v>31077577.224464949</v>
      </c>
      <c r="N306" s="312">
        <f t="shared" si="81"/>
        <v>28406062.236334201</v>
      </c>
      <c r="O306" s="312">
        <f t="shared" si="81"/>
        <v>30055607.389945041</v>
      </c>
      <c r="P306" s="312">
        <f t="shared" si="81"/>
        <v>33607227.311219245</v>
      </c>
      <c r="Q306" s="312">
        <f t="shared" si="78"/>
        <v>33084240.113586325</v>
      </c>
      <c r="R306" s="312">
        <f t="shared" si="80"/>
        <v>26209752.194062706</v>
      </c>
      <c r="S306" s="312">
        <f t="shared" si="80"/>
        <v>31643484.521622885</v>
      </c>
      <c r="T306" s="312">
        <f t="shared" si="80"/>
        <v>39427788.192456134</v>
      </c>
      <c r="U306" s="313">
        <f t="shared" ref="U306:V311" si="82">U$303*$D293</f>
        <v>39352702.108694822</v>
      </c>
      <c r="V306" s="313">
        <f t="shared" si="82"/>
        <v>38104752.068083592</v>
      </c>
    </row>
    <row r="307" spans="3:22">
      <c r="C307" s="363" t="s">
        <v>438</v>
      </c>
      <c r="D307" s="316"/>
      <c r="E307" s="316"/>
      <c r="F307" s="31"/>
      <c r="I307" s="506">
        <f t="shared" si="79"/>
        <v>8213098.6878384342</v>
      </c>
      <c r="J307" s="312">
        <f t="shared" si="81"/>
        <v>8855032.7570931371</v>
      </c>
      <c r="K307" s="312">
        <f t="shared" si="81"/>
        <v>8658003.819551697</v>
      </c>
      <c r="L307" s="312">
        <f t="shared" si="81"/>
        <v>8261528.4347644253</v>
      </c>
      <c r="M307" s="312">
        <f t="shared" si="81"/>
        <v>7147842.7616269384</v>
      </c>
      <c r="N307" s="312">
        <f t="shared" si="81"/>
        <v>6533394.3143568663</v>
      </c>
      <c r="O307" s="312">
        <f t="shared" si="81"/>
        <v>6912789.6996873599</v>
      </c>
      <c r="P307" s="312">
        <f t="shared" si="81"/>
        <v>7729662.2815804267</v>
      </c>
      <c r="Q307" s="312">
        <f t="shared" si="78"/>
        <v>7609375.2261248548</v>
      </c>
      <c r="R307" s="312">
        <f t="shared" si="80"/>
        <v>6028243.0046344223</v>
      </c>
      <c r="S307" s="312">
        <f>S$303*$D294</f>
        <v>7278001.4399732631</v>
      </c>
      <c r="T307" s="312">
        <f t="shared" si="80"/>
        <v>9068391.284264911</v>
      </c>
      <c r="U307" s="313">
        <f t="shared" si="82"/>
        <v>9051121.4849998094</v>
      </c>
      <c r="V307" s="313">
        <f t="shared" si="82"/>
        <v>8764092.9756592251</v>
      </c>
    </row>
    <row r="308" spans="3:22">
      <c r="C308" s="363" t="s">
        <v>439</v>
      </c>
      <c r="D308" s="316"/>
      <c r="E308" s="316"/>
      <c r="F308" s="31"/>
      <c r="I308" s="506">
        <f t="shared" si="79"/>
        <v>18925836.106758133</v>
      </c>
      <c r="J308" s="312">
        <f t="shared" si="81"/>
        <v>20405075.483736359</v>
      </c>
      <c r="K308" s="312">
        <f t="shared" si="81"/>
        <v>19951052.279836521</v>
      </c>
      <c r="L308" s="312">
        <f t="shared" si="81"/>
        <v>19037435.088804983</v>
      </c>
      <c r="M308" s="312">
        <f t="shared" si="81"/>
        <v>16471115.928966423</v>
      </c>
      <c r="N308" s="312">
        <f t="shared" si="81"/>
        <v>15055212.985257128</v>
      </c>
      <c r="O308" s="312">
        <f t="shared" si="81"/>
        <v>15929471.916670874</v>
      </c>
      <c r="P308" s="312">
        <f t="shared" si="81"/>
        <v>17811830.474946201</v>
      </c>
      <c r="Q308" s="312">
        <f t="shared" si="78"/>
        <v>17534647.260200754</v>
      </c>
      <c r="R308" s="312">
        <f t="shared" si="80"/>
        <v>13891168.662853234</v>
      </c>
      <c r="S308" s="312">
        <f>S$303*$D295</f>
        <v>16771046.796460129</v>
      </c>
      <c r="T308" s="312">
        <f t="shared" si="80"/>
        <v>20896727.74200175</v>
      </c>
      <c r="U308" s="313">
        <f t="shared" si="82"/>
        <v>20856932.117608257</v>
      </c>
      <c r="V308" s="313">
        <f t="shared" si="82"/>
        <v>20195518.596084304</v>
      </c>
    </row>
    <row r="309" spans="3:22">
      <c r="C309" s="363" t="s">
        <v>440</v>
      </c>
      <c r="D309" s="316"/>
      <c r="E309" s="316"/>
      <c r="F309" s="31"/>
      <c r="I309" s="506">
        <f t="shared" si="79"/>
        <v>3928003.7202705555</v>
      </c>
      <c r="J309" s="312">
        <f t="shared" si="81"/>
        <v>4235015.666435848</v>
      </c>
      <c r="K309" s="312">
        <f t="shared" si="81"/>
        <v>4140784.4354377682</v>
      </c>
      <c r="L309" s="312">
        <f t="shared" si="81"/>
        <v>3951165.7731482033</v>
      </c>
      <c r="M309" s="312">
        <f t="shared" si="81"/>
        <v>3418533.4946911442</v>
      </c>
      <c r="N309" s="312">
        <f t="shared" si="81"/>
        <v>3124666.8459967622</v>
      </c>
      <c r="O309" s="312">
        <f t="shared" si="81"/>
        <v>3306116.8128939546</v>
      </c>
      <c r="P309" s="312">
        <f t="shared" si="81"/>
        <v>3696795.004234117</v>
      </c>
      <c r="Q309" s="312">
        <f t="shared" si="78"/>
        <v>3639266.412494496</v>
      </c>
      <c r="R309" s="312">
        <f t="shared" si="80"/>
        <v>2883072.7413468976</v>
      </c>
      <c r="S309" s="312">
        <f t="shared" si="80"/>
        <v>3480783.2973785172</v>
      </c>
      <c r="T309" s="312">
        <f t="shared" si="80"/>
        <v>4337056.7011701744</v>
      </c>
      <c r="U309" s="313">
        <f t="shared" si="82"/>
        <v>4328797.2319564307</v>
      </c>
      <c r="V309" s="313">
        <f t="shared" si="82"/>
        <v>4191522.7274891948</v>
      </c>
    </row>
    <row r="310" spans="3:22">
      <c r="C310" s="363" t="s">
        <v>441</v>
      </c>
      <c r="D310" s="316"/>
      <c r="E310" s="316"/>
      <c r="F310" s="31"/>
      <c r="I310" s="506">
        <f t="shared" si="79"/>
        <v>2499638.7310812632</v>
      </c>
      <c r="J310" s="312">
        <f t="shared" si="81"/>
        <v>2695009.9695500857</v>
      </c>
      <c r="K310" s="312">
        <f t="shared" si="81"/>
        <v>2635044.6407331256</v>
      </c>
      <c r="L310" s="312">
        <f t="shared" si="81"/>
        <v>2514378.2192761297</v>
      </c>
      <c r="M310" s="312">
        <f t="shared" si="81"/>
        <v>2175430.4057125468</v>
      </c>
      <c r="N310" s="312">
        <f t="shared" si="81"/>
        <v>1988424.3565433943</v>
      </c>
      <c r="O310" s="312">
        <f t="shared" si="81"/>
        <v>2103892.5172961531</v>
      </c>
      <c r="P310" s="312">
        <f t="shared" si="81"/>
        <v>2352505.9117853474</v>
      </c>
      <c r="Q310" s="312">
        <f t="shared" si="78"/>
        <v>2315896.8079510434</v>
      </c>
      <c r="R310" s="312">
        <f t="shared" si="80"/>
        <v>1834682.6535843895</v>
      </c>
      <c r="S310" s="312">
        <f t="shared" si="80"/>
        <v>2215043.9165136022</v>
      </c>
      <c r="T310" s="312">
        <f t="shared" si="80"/>
        <v>2759945.1734719295</v>
      </c>
      <c r="U310" s="313">
        <f t="shared" si="82"/>
        <v>2754689.1476086378</v>
      </c>
      <c r="V310" s="313">
        <f t="shared" si="82"/>
        <v>2667332.6447658516</v>
      </c>
    </row>
    <row r="311" spans="3:22">
      <c r="C311" s="363" t="s">
        <v>442</v>
      </c>
      <c r="D311" s="316"/>
      <c r="E311" s="316"/>
      <c r="F311" s="31"/>
      <c r="I311" s="506">
        <f t="shared" si="79"/>
        <v>1785456.2364866163</v>
      </c>
      <c r="J311" s="312">
        <f t="shared" si="81"/>
        <v>1925007.1211072039</v>
      </c>
      <c r="K311" s="312">
        <f t="shared" si="81"/>
        <v>1882174.7433808038</v>
      </c>
      <c r="L311" s="312">
        <f t="shared" si="81"/>
        <v>1795984.4423400925</v>
      </c>
      <c r="M311" s="312">
        <f t="shared" si="81"/>
        <v>1553878.8612232476</v>
      </c>
      <c r="N311" s="312">
        <f t="shared" si="81"/>
        <v>1420303.1118167101</v>
      </c>
      <c r="O311" s="312">
        <f t="shared" si="81"/>
        <v>1502780.3694972522</v>
      </c>
      <c r="P311" s="312">
        <f t="shared" si="81"/>
        <v>1680361.3655609626</v>
      </c>
      <c r="Q311" s="312">
        <f t="shared" si="78"/>
        <v>1654212.0056793166</v>
      </c>
      <c r="R311" s="312">
        <f t="shared" si="80"/>
        <v>1310487.6097031354</v>
      </c>
      <c r="S311" s="312">
        <f t="shared" si="80"/>
        <v>1582174.2260811443</v>
      </c>
      <c r="T311" s="312">
        <f t="shared" si="80"/>
        <v>1971389.4096228068</v>
      </c>
      <c r="U311" s="313">
        <f t="shared" si="82"/>
        <v>1967635.1054347414</v>
      </c>
      <c r="V311" s="313">
        <f t="shared" si="82"/>
        <v>1905237.6034041797</v>
      </c>
    </row>
    <row r="312" spans="3:22">
      <c r="C312" s="434" t="s">
        <v>436</v>
      </c>
      <c r="D312" s="316"/>
      <c r="E312" s="316"/>
      <c r="F312" s="31"/>
      <c r="I312" s="521">
        <f t="shared" ref="I312:P319" si="83">I304*I291</f>
        <v>220747316.51107255</v>
      </c>
      <c r="J312" s="361">
        <f t="shared" si="83"/>
        <v>238000880.42779973</v>
      </c>
      <c r="K312" s="361">
        <f t="shared" si="83"/>
        <v>232705240.99980849</v>
      </c>
      <c r="L312" s="361">
        <f t="shared" si="83"/>
        <v>222048985.59841144</v>
      </c>
      <c r="M312" s="361">
        <f t="shared" si="83"/>
        <v>192115931.93305606</v>
      </c>
      <c r="N312" s="361">
        <f t="shared" si="83"/>
        <v>175601112.00642961</v>
      </c>
      <c r="O312" s="361">
        <f t="shared" si="83"/>
        <v>185798300.22875118</v>
      </c>
      <c r="P312" s="361">
        <f t="shared" si="83"/>
        <v>207753768.83299172</v>
      </c>
      <c r="Q312" s="361">
        <f t="shared" ref="Q312:V312" si="84">Q304*Q291</f>
        <v>204520757.06580639</v>
      </c>
      <c r="R312" s="361">
        <f t="shared" si="84"/>
        <v>162023922.65420583</v>
      </c>
      <c r="S312" s="361">
        <f t="shared" si="84"/>
        <v>195614267.95185056</v>
      </c>
      <c r="T312" s="361">
        <f t="shared" si="84"/>
        <v>243735417.91700155</v>
      </c>
      <c r="U312" s="361">
        <f t="shared" si="84"/>
        <v>243271249.39920437</v>
      </c>
      <c r="V312" s="361">
        <f t="shared" si="84"/>
        <v>235556649.14815313</v>
      </c>
    </row>
    <row r="313" spans="3:22">
      <c r="C313" s="434" t="s">
        <v>437</v>
      </c>
      <c r="D313" s="316"/>
      <c r="E313" s="316"/>
      <c r="F313" s="31"/>
      <c r="I313" s="521">
        <f t="shared" si="83"/>
        <v>68171965.39312534</v>
      </c>
      <c r="J313" s="361">
        <f t="shared" si="83"/>
        <v>73500271.8968205</v>
      </c>
      <c r="K313" s="361">
        <f t="shared" si="83"/>
        <v>71864853.838176146</v>
      </c>
      <c r="L313" s="361">
        <f t="shared" si="83"/>
        <v>68573951.434803531</v>
      </c>
      <c r="M313" s="361">
        <f t="shared" si="83"/>
        <v>59329920.155796722</v>
      </c>
      <c r="N313" s="361">
        <f t="shared" si="83"/>
        <v>54229755.178456202</v>
      </c>
      <c r="O313" s="361">
        <f t="shared" si="83"/>
        <v>57378886.835349619</v>
      </c>
      <c r="P313" s="361">
        <f t="shared" si="83"/>
        <v>64159252.139600374</v>
      </c>
      <c r="Q313" s="361">
        <f t="shared" ref="Q313:V319" si="85">Q305*Q292</f>
        <v>63160822.035028443</v>
      </c>
      <c r="R313" s="361">
        <f t="shared" si="85"/>
        <v>50036799.643210612</v>
      </c>
      <c r="S313" s="361">
        <f t="shared" si="85"/>
        <v>60410288.63218914</v>
      </c>
      <c r="T313" s="361">
        <f t="shared" si="85"/>
        <v>75271232.003779888</v>
      </c>
      <c r="U313" s="361">
        <f t="shared" si="85"/>
        <v>75127885.843871936</v>
      </c>
      <c r="V313" s="361">
        <f t="shared" si="85"/>
        <v>72745435.766341403</v>
      </c>
    </row>
    <row r="314" spans="3:22">
      <c r="C314" s="434" t="s">
        <v>416</v>
      </c>
      <c r="D314" s="316"/>
      <c r="E314" s="316"/>
      <c r="F314" s="31"/>
      <c r="I314" s="521">
        <f t="shared" si="83"/>
        <v>0</v>
      </c>
      <c r="J314" s="361">
        <f t="shared" si="83"/>
        <v>0</v>
      </c>
      <c r="K314" s="361">
        <f t="shared" si="83"/>
        <v>0</v>
      </c>
      <c r="L314" s="361">
        <f t="shared" si="83"/>
        <v>0</v>
      </c>
      <c r="M314" s="361">
        <f t="shared" si="83"/>
        <v>0</v>
      </c>
      <c r="N314" s="361">
        <f t="shared" si="83"/>
        <v>0</v>
      </c>
      <c r="O314" s="361">
        <f t="shared" si="83"/>
        <v>0</v>
      </c>
      <c r="P314" s="361">
        <f t="shared" si="83"/>
        <v>0</v>
      </c>
      <c r="Q314" s="361">
        <f t="shared" si="85"/>
        <v>0</v>
      </c>
      <c r="R314" s="361">
        <f t="shared" si="85"/>
        <v>0</v>
      </c>
      <c r="S314" s="361">
        <f t="shared" si="85"/>
        <v>0</v>
      </c>
      <c r="T314" s="361">
        <f>T306*T293</f>
        <v>0</v>
      </c>
      <c r="U314" s="361">
        <f>U306*U293</f>
        <v>0</v>
      </c>
      <c r="V314" s="361">
        <f>V306*V293</f>
        <v>0</v>
      </c>
    </row>
    <row r="315" spans="3:22">
      <c r="C315" s="436" t="s">
        <v>438</v>
      </c>
      <c r="D315" s="316"/>
      <c r="E315" s="316"/>
      <c r="F315" s="31"/>
      <c r="I315" s="521">
        <f t="shared" si="83"/>
        <v>8213098.6878384342</v>
      </c>
      <c r="J315" s="361">
        <f t="shared" si="83"/>
        <v>8855032.7570931371</v>
      </c>
      <c r="K315" s="361">
        <f t="shared" si="83"/>
        <v>8658003.819551697</v>
      </c>
      <c r="L315" s="361">
        <f t="shared" si="83"/>
        <v>8261528.4347644253</v>
      </c>
      <c r="M315" s="361">
        <f t="shared" si="83"/>
        <v>7147842.7616269384</v>
      </c>
      <c r="N315" s="361">
        <f t="shared" si="83"/>
        <v>6533394.3143568663</v>
      </c>
      <c r="O315" s="361">
        <f t="shared" si="83"/>
        <v>6912789.6996873599</v>
      </c>
      <c r="P315" s="361">
        <f t="shared" si="83"/>
        <v>7729662.2815804267</v>
      </c>
      <c r="Q315" s="361">
        <f t="shared" si="85"/>
        <v>7609375.2261248548</v>
      </c>
      <c r="R315" s="361">
        <f t="shared" si="85"/>
        <v>6028243.0046344223</v>
      </c>
      <c r="S315" s="361">
        <f t="shared" si="85"/>
        <v>7278001.4399732631</v>
      </c>
      <c r="T315" s="361">
        <f t="shared" si="85"/>
        <v>9068391.284264911</v>
      </c>
      <c r="U315" s="361">
        <f t="shared" si="85"/>
        <v>9051121.4849998094</v>
      </c>
      <c r="V315" s="361">
        <f t="shared" si="85"/>
        <v>8764092.9756592251</v>
      </c>
    </row>
    <row r="316" spans="3:22">
      <c r="C316" s="436" t="s">
        <v>439</v>
      </c>
      <c r="D316" s="316"/>
      <c r="E316" s="316"/>
      <c r="F316" s="31"/>
      <c r="I316" s="521">
        <f t="shared" si="83"/>
        <v>0</v>
      </c>
      <c r="J316" s="361">
        <f t="shared" si="83"/>
        <v>0</v>
      </c>
      <c r="K316" s="361">
        <f t="shared" si="83"/>
        <v>0</v>
      </c>
      <c r="L316" s="361">
        <f t="shared" si="83"/>
        <v>0</v>
      </c>
      <c r="M316" s="361">
        <f t="shared" si="83"/>
        <v>0</v>
      </c>
      <c r="N316" s="361">
        <f t="shared" si="83"/>
        <v>0</v>
      </c>
      <c r="O316" s="361">
        <f t="shared" si="83"/>
        <v>0</v>
      </c>
      <c r="P316" s="361">
        <f t="shared" si="83"/>
        <v>0</v>
      </c>
      <c r="Q316" s="361">
        <f t="shared" si="85"/>
        <v>0</v>
      </c>
      <c r="R316" s="361">
        <f t="shared" si="85"/>
        <v>0</v>
      </c>
      <c r="S316" s="361">
        <f t="shared" si="85"/>
        <v>0</v>
      </c>
      <c r="T316" s="361">
        <f t="shared" si="85"/>
        <v>0</v>
      </c>
      <c r="U316" s="361">
        <f t="shared" si="85"/>
        <v>0</v>
      </c>
      <c r="V316" s="361">
        <f t="shared" si="85"/>
        <v>0</v>
      </c>
    </row>
    <row r="317" spans="3:22">
      <c r="C317" s="436" t="s">
        <v>440</v>
      </c>
      <c r="D317" s="316"/>
      <c r="E317" s="316"/>
      <c r="F317" s="31"/>
      <c r="I317" s="521">
        <f t="shared" si="83"/>
        <v>3928003.7202705555</v>
      </c>
      <c r="J317" s="361">
        <f t="shared" si="83"/>
        <v>4235015.666435848</v>
      </c>
      <c r="K317" s="361">
        <f t="shared" si="83"/>
        <v>4140784.4354377682</v>
      </c>
      <c r="L317" s="361">
        <f t="shared" si="83"/>
        <v>3951165.7731482033</v>
      </c>
      <c r="M317" s="361">
        <f t="shared" si="83"/>
        <v>3418533.4946911442</v>
      </c>
      <c r="N317" s="361">
        <f t="shared" si="83"/>
        <v>3124666.8459967622</v>
      </c>
      <c r="O317" s="361">
        <f t="shared" si="83"/>
        <v>3306116.8128939546</v>
      </c>
      <c r="P317" s="361">
        <f t="shared" si="83"/>
        <v>3696795.004234117</v>
      </c>
      <c r="Q317" s="361">
        <f t="shared" si="85"/>
        <v>3639266.412494496</v>
      </c>
      <c r="R317" s="361">
        <f t="shared" si="85"/>
        <v>2883072.7413468976</v>
      </c>
      <c r="S317" s="361">
        <f t="shared" si="85"/>
        <v>3480783.2973785172</v>
      </c>
      <c r="T317" s="361">
        <f t="shared" si="85"/>
        <v>4337056.7011701744</v>
      </c>
      <c r="U317" s="361">
        <f t="shared" si="85"/>
        <v>4328797.2319564307</v>
      </c>
      <c r="V317" s="361">
        <f t="shared" si="85"/>
        <v>4191522.7274891948</v>
      </c>
    </row>
    <row r="318" spans="3:22">
      <c r="C318" s="436" t="s">
        <v>441</v>
      </c>
      <c r="D318" s="316"/>
      <c r="E318" s="316"/>
      <c r="F318" s="31"/>
      <c r="I318" s="521">
        <f t="shared" si="83"/>
        <v>0</v>
      </c>
      <c r="J318" s="361">
        <f t="shared" si="83"/>
        <v>0</v>
      </c>
      <c r="K318" s="361">
        <f t="shared" si="83"/>
        <v>0</v>
      </c>
      <c r="L318" s="361">
        <f t="shared" si="83"/>
        <v>0</v>
      </c>
      <c r="M318" s="361">
        <f t="shared" si="83"/>
        <v>0</v>
      </c>
      <c r="N318" s="361">
        <f t="shared" si="83"/>
        <v>0</v>
      </c>
      <c r="O318" s="361">
        <f t="shared" si="83"/>
        <v>0</v>
      </c>
      <c r="P318" s="361">
        <f t="shared" si="83"/>
        <v>0</v>
      </c>
      <c r="Q318" s="361">
        <f t="shared" si="85"/>
        <v>0</v>
      </c>
      <c r="R318" s="361">
        <f t="shared" si="85"/>
        <v>0</v>
      </c>
      <c r="S318" s="361">
        <f t="shared" si="85"/>
        <v>0</v>
      </c>
      <c r="T318" s="361">
        <f t="shared" si="85"/>
        <v>0</v>
      </c>
      <c r="U318" s="361">
        <f t="shared" si="85"/>
        <v>0</v>
      </c>
      <c r="V318" s="361">
        <f t="shared" si="85"/>
        <v>0</v>
      </c>
    </row>
    <row r="319" spans="3:22">
      <c r="C319" s="436" t="s">
        <v>442</v>
      </c>
      <c r="D319" s="316"/>
      <c r="E319" s="316"/>
      <c r="F319" s="31"/>
      <c r="I319" s="521">
        <f t="shared" si="83"/>
        <v>1785456.2364866163</v>
      </c>
      <c r="J319" s="361">
        <f t="shared" si="83"/>
        <v>1925007.1211072039</v>
      </c>
      <c r="K319" s="361">
        <f t="shared" si="83"/>
        <v>1882174.7433808038</v>
      </c>
      <c r="L319" s="361">
        <f t="shared" si="83"/>
        <v>1795984.4423400925</v>
      </c>
      <c r="M319" s="361">
        <f t="shared" si="83"/>
        <v>1553878.8612232476</v>
      </c>
      <c r="N319" s="361">
        <f t="shared" si="83"/>
        <v>1420303.1118167101</v>
      </c>
      <c r="O319" s="361">
        <f t="shared" si="83"/>
        <v>1502780.3694972522</v>
      </c>
      <c r="P319" s="361">
        <f t="shared" si="83"/>
        <v>1680361.3655609626</v>
      </c>
      <c r="Q319" s="361">
        <f t="shared" si="85"/>
        <v>1654212.0056793166</v>
      </c>
      <c r="R319" s="361">
        <f t="shared" si="85"/>
        <v>1310487.6097031354</v>
      </c>
      <c r="S319" s="361">
        <f t="shared" si="85"/>
        <v>1582174.2260811443</v>
      </c>
      <c r="T319" s="361">
        <f t="shared" si="85"/>
        <v>1971389.4096228068</v>
      </c>
      <c r="U319" s="361">
        <f t="shared" si="85"/>
        <v>1967635.1054347414</v>
      </c>
      <c r="V319" s="361">
        <f t="shared" si="85"/>
        <v>1905237.6034041797</v>
      </c>
    </row>
    <row r="320" spans="3:22">
      <c r="C320" s="436" t="s">
        <v>241</v>
      </c>
      <c r="D320" s="316"/>
      <c r="E320" s="316"/>
      <c r="F320" s="31"/>
      <c r="I320" s="521">
        <f t="shared" ref="I320:P320" si="86">SUM(I312:I319)</f>
        <v>302845840.54879349</v>
      </c>
      <c r="J320" s="361">
        <f t="shared" si="86"/>
        <v>326516207.86925644</v>
      </c>
      <c r="K320" s="361">
        <f t="shared" si="86"/>
        <v>319251057.83635485</v>
      </c>
      <c r="L320" s="361">
        <f t="shared" si="86"/>
        <v>304631615.68346769</v>
      </c>
      <c r="M320" s="361">
        <f t="shared" si="86"/>
        <v>263566107.20639408</v>
      </c>
      <c r="N320" s="361">
        <f t="shared" si="86"/>
        <v>240909231.45705613</v>
      </c>
      <c r="O320" s="361">
        <f t="shared" si="86"/>
        <v>254898873.94617936</v>
      </c>
      <c r="P320" s="361">
        <f t="shared" si="86"/>
        <v>285019839.62396765</v>
      </c>
      <c r="Q320" s="361">
        <f t="shared" ref="Q320:V320" si="87">SUM(Q312:Q319)</f>
        <v>280584432.74513352</v>
      </c>
      <c r="R320" s="361">
        <f t="shared" si="87"/>
        <v>222282525.65310088</v>
      </c>
      <c r="S320" s="361">
        <f t="shared" si="87"/>
        <v>268365515.5474726</v>
      </c>
      <c r="T320" s="361">
        <f t="shared" si="87"/>
        <v>334383487.31583929</v>
      </c>
      <c r="U320" s="435">
        <f t="shared" si="87"/>
        <v>333746689.0654673</v>
      </c>
      <c r="V320" s="435">
        <f t="shared" si="87"/>
        <v>323162938.2210471</v>
      </c>
    </row>
    <row r="321" spans="3:22">
      <c r="C321" s="388" t="s">
        <v>345</v>
      </c>
      <c r="D321" s="467"/>
      <c r="E321" s="467"/>
      <c r="F321" s="515"/>
      <c r="I321" s="522"/>
      <c r="J321" s="468"/>
      <c r="K321" s="468"/>
      <c r="L321" s="468"/>
      <c r="M321" s="468"/>
      <c r="N321" s="468"/>
      <c r="O321" s="468"/>
      <c r="P321" s="468"/>
      <c r="Q321" s="468"/>
      <c r="R321" s="468"/>
      <c r="S321" s="468"/>
      <c r="T321" s="468"/>
      <c r="U321" s="314"/>
      <c r="V321" s="314"/>
    </row>
    <row r="322" spans="3:22">
      <c r="C322" s="437" t="s">
        <v>343</v>
      </c>
      <c r="D322" s="316"/>
      <c r="F322" s="31"/>
      <c r="H322" s="495"/>
      <c r="I322" s="523">
        <f t="shared" ref="I322:V322" si="88">I50</f>
        <v>150759988.55117926</v>
      </c>
      <c r="J322" s="323">
        <f t="shared" si="88"/>
        <v>167671181.45233333</v>
      </c>
      <c r="K322" s="323">
        <f t="shared" si="88"/>
        <v>165942327.97413757</v>
      </c>
      <c r="L322" s="323">
        <f t="shared" si="88"/>
        <v>165593100.64243725</v>
      </c>
      <c r="M322" s="323">
        <f t="shared" si="88"/>
        <v>148319318.9121609</v>
      </c>
      <c r="N322" s="323">
        <f t="shared" si="88"/>
        <v>142733521.38217974</v>
      </c>
      <c r="O322" s="323">
        <f t="shared" si="88"/>
        <v>170866821.22028431</v>
      </c>
      <c r="P322" s="323">
        <f t="shared" si="88"/>
        <v>198667360.99765268</v>
      </c>
      <c r="Q322" s="323">
        <f t="shared" si="88"/>
        <v>202644797.54296622</v>
      </c>
      <c r="R322" s="323">
        <f t="shared" si="88"/>
        <v>166468591.35010388</v>
      </c>
      <c r="S322" s="323">
        <f t="shared" si="88"/>
        <v>197108307.61011773</v>
      </c>
      <c r="T322" s="323">
        <f t="shared" si="88"/>
        <v>263111081.21258521</v>
      </c>
      <c r="U322" s="433">
        <f t="shared" si="88"/>
        <v>251593532.58300263</v>
      </c>
      <c r="V322" s="433">
        <f t="shared" si="88"/>
        <v>242349786.92851707</v>
      </c>
    </row>
    <row r="323" spans="3:22">
      <c r="C323" s="71" t="s">
        <v>436</v>
      </c>
      <c r="D323" s="316"/>
      <c r="F323" s="31"/>
      <c r="I323" s="506">
        <f t="shared" ref="I323:P330" si="89">I$322*$D291</f>
        <v>102516792.21480191</v>
      </c>
      <c r="J323" s="312">
        <f t="shared" si="89"/>
        <v>114016403.38758667</v>
      </c>
      <c r="K323" s="312">
        <f t="shared" si="89"/>
        <v>112840783.02241355</v>
      </c>
      <c r="L323" s="312">
        <f t="shared" si="89"/>
        <v>112603308.43685734</v>
      </c>
      <c r="M323" s="312">
        <f t="shared" si="89"/>
        <v>100857136.86026943</v>
      </c>
      <c r="N323" s="312">
        <f t="shared" si="89"/>
        <v>97058794.539882228</v>
      </c>
      <c r="O323" s="312">
        <f t="shared" si="89"/>
        <v>116189438.42979334</v>
      </c>
      <c r="P323" s="312">
        <f t="shared" si="89"/>
        <v>135093805.47840384</v>
      </c>
      <c r="Q323" s="312">
        <f t="shared" ref="Q323:Q330" si="90">Q$322*$D291</f>
        <v>137798462.32921705</v>
      </c>
      <c r="R323" s="312">
        <f>R$322*$D291</f>
        <v>113198642.11807065</v>
      </c>
      <c r="S323" s="312">
        <f>S$322*$D291</f>
        <v>134033649.17488007</v>
      </c>
      <c r="T323" s="312">
        <f>T$322*$D291</f>
        <v>178915535.22455797</v>
      </c>
      <c r="U323" s="313">
        <f>U$322*$D291</f>
        <v>171083602.15644181</v>
      </c>
      <c r="V323" s="313">
        <f>V$322*$D291</f>
        <v>164797855.11139163</v>
      </c>
    </row>
    <row r="324" spans="3:22">
      <c r="C324" s="71" t="s">
        <v>437</v>
      </c>
      <c r="D324" s="316"/>
      <c r="F324" s="31"/>
      <c r="I324" s="506">
        <f t="shared" si="89"/>
        <v>31659597.595747642</v>
      </c>
      <c r="J324" s="312">
        <f t="shared" si="89"/>
        <v>35210948.104989998</v>
      </c>
      <c r="K324" s="312">
        <f t="shared" si="89"/>
        <v>34847888.874568887</v>
      </c>
      <c r="L324" s="312">
        <f t="shared" si="89"/>
        <v>34774551.13491182</v>
      </c>
      <c r="M324" s="312">
        <f t="shared" si="89"/>
        <v>31147056.971553788</v>
      </c>
      <c r="N324" s="312">
        <f t="shared" si="89"/>
        <v>29974039.490257744</v>
      </c>
      <c r="O324" s="312">
        <f t="shared" si="89"/>
        <v>35882032.456259705</v>
      </c>
      <c r="P324" s="312">
        <f t="shared" si="89"/>
        <v>41720145.809507065</v>
      </c>
      <c r="Q324" s="312">
        <f t="shared" si="90"/>
        <v>42555407.4840229</v>
      </c>
      <c r="R324" s="312">
        <f t="shared" ref="R324:V330" si="91">R$322*$D292</f>
        <v>34958404.183521815</v>
      </c>
      <c r="S324" s="312">
        <f t="shared" si="91"/>
        <v>41392744.59812472</v>
      </c>
      <c r="T324" s="312">
        <f t="shared" si="91"/>
        <v>55253327.054642893</v>
      </c>
      <c r="U324" s="313">
        <f t="shared" si="91"/>
        <v>52834641.842430547</v>
      </c>
      <c r="V324" s="313">
        <f t="shared" si="91"/>
        <v>50893455.254988581</v>
      </c>
    </row>
    <row r="325" spans="3:22">
      <c r="C325" s="71" t="s">
        <v>416</v>
      </c>
      <c r="D325" s="316"/>
      <c r="F325" s="31"/>
      <c r="I325" s="506">
        <f t="shared" si="89"/>
        <v>16583598.74062972</v>
      </c>
      <c r="J325" s="312">
        <f t="shared" si="89"/>
        <v>18443829.959756665</v>
      </c>
      <c r="K325" s="312">
        <f t="shared" si="89"/>
        <v>18253656.077155132</v>
      </c>
      <c r="L325" s="312">
        <f t="shared" si="89"/>
        <v>18215241.070668098</v>
      </c>
      <c r="M325" s="312">
        <f t="shared" si="89"/>
        <v>16315125.0803377</v>
      </c>
      <c r="N325" s="312">
        <f t="shared" si="89"/>
        <v>15700687.352039771</v>
      </c>
      <c r="O325" s="312">
        <f t="shared" si="89"/>
        <v>18795350.334231276</v>
      </c>
      <c r="P325" s="312">
        <f t="shared" si="89"/>
        <v>21853409.709741794</v>
      </c>
      <c r="Q325" s="312">
        <f t="shared" si="90"/>
        <v>22290927.729726285</v>
      </c>
      <c r="R325" s="312">
        <f t="shared" si="91"/>
        <v>18311545.048511427</v>
      </c>
      <c r="S325" s="312">
        <f t="shared" si="91"/>
        <v>21681913.837112952</v>
      </c>
      <c r="T325" s="312">
        <f t="shared" si="91"/>
        <v>28942218.933384374</v>
      </c>
      <c r="U325" s="313">
        <f t="shared" si="91"/>
        <v>27675288.584130291</v>
      </c>
      <c r="V325" s="313">
        <f t="shared" si="91"/>
        <v>26658476.562136877</v>
      </c>
    </row>
    <row r="326" spans="3:22">
      <c r="C326" s="363" t="s">
        <v>438</v>
      </c>
      <c r="D326" s="316"/>
      <c r="F326" s="31"/>
      <c r="I326" s="506">
        <f t="shared" si="89"/>
        <v>3814227.7103448352</v>
      </c>
      <c r="J326" s="312">
        <f t="shared" si="89"/>
        <v>4242080.8907440333</v>
      </c>
      <c r="K326" s="312">
        <f t="shared" si="89"/>
        <v>4198340.897745681</v>
      </c>
      <c r="L326" s="312">
        <f t="shared" si="89"/>
        <v>4189505.4462536625</v>
      </c>
      <c r="M326" s="312">
        <f t="shared" si="89"/>
        <v>3752478.7684776708</v>
      </c>
      <c r="N326" s="312">
        <f t="shared" si="89"/>
        <v>3611158.0909691472</v>
      </c>
      <c r="O326" s="312">
        <f t="shared" si="89"/>
        <v>4322930.5768731935</v>
      </c>
      <c r="P326" s="312">
        <f t="shared" si="89"/>
        <v>5026284.2332406128</v>
      </c>
      <c r="Q326" s="312">
        <f t="shared" si="90"/>
        <v>5126913.3778370451</v>
      </c>
      <c r="R326" s="312">
        <f t="shared" si="91"/>
        <v>4211655.3611576278</v>
      </c>
      <c r="S326" s="312">
        <f t="shared" si="91"/>
        <v>4986840.182535979</v>
      </c>
      <c r="T326" s="312">
        <f t="shared" si="91"/>
        <v>6656710.3546784054</v>
      </c>
      <c r="U326" s="313">
        <f t="shared" si="91"/>
        <v>6365316.3743499666</v>
      </c>
      <c r="V326" s="313">
        <f t="shared" si="91"/>
        <v>6131449.6092914818</v>
      </c>
    </row>
    <row r="327" spans="3:22">
      <c r="C327" s="363" t="s">
        <v>439</v>
      </c>
      <c r="D327" s="316"/>
      <c r="F327" s="31"/>
      <c r="I327" s="506">
        <f t="shared" si="89"/>
        <v>8789307.3325337507</v>
      </c>
      <c r="J327" s="312">
        <f t="shared" si="89"/>
        <v>9775229.8786710333</v>
      </c>
      <c r="K327" s="312">
        <f t="shared" si="89"/>
        <v>9674437.7208922207</v>
      </c>
      <c r="L327" s="312">
        <f t="shared" si="89"/>
        <v>9654077.7674540933</v>
      </c>
      <c r="M327" s="312">
        <f t="shared" si="89"/>
        <v>8647016.2925789822</v>
      </c>
      <c r="N327" s="312">
        <f t="shared" si="89"/>
        <v>8321364.2965810793</v>
      </c>
      <c r="O327" s="312">
        <f t="shared" si="89"/>
        <v>9961535.6771425754</v>
      </c>
      <c r="P327" s="312">
        <f t="shared" si="89"/>
        <v>11582307.146163153</v>
      </c>
      <c r="Q327" s="312">
        <f t="shared" si="90"/>
        <v>11814191.696754931</v>
      </c>
      <c r="R327" s="312">
        <f t="shared" si="91"/>
        <v>9705118.8757110573</v>
      </c>
      <c r="S327" s="312">
        <f t="shared" si="91"/>
        <v>11491414.333669866</v>
      </c>
      <c r="T327" s="312">
        <f t="shared" si="91"/>
        <v>15339376.03469372</v>
      </c>
      <c r="U327" s="313">
        <f t="shared" si="91"/>
        <v>14667902.949589055</v>
      </c>
      <c r="V327" s="313">
        <f t="shared" si="91"/>
        <v>14128992.577932546</v>
      </c>
    </row>
    <row r="328" spans="3:22">
      <c r="C328" s="363" t="s">
        <v>440</v>
      </c>
      <c r="D328" s="316"/>
      <c r="F328" s="31"/>
      <c r="I328" s="506">
        <f t="shared" si="89"/>
        <v>1824195.861469269</v>
      </c>
      <c r="J328" s="312">
        <f t="shared" si="89"/>
        <v>2028821.2955732332</v>
      </c>
      <c r="K328" s="312">
        <f t="shared" si="89"/>
        <v>2007902.1684870645</v>
      </c>
      <c r="L328" s="312">
        <f t="shared" si="89"/>
        <v>2003676.5177734906</v>
      </c>
      <c r="M328" s="312">
        <f t="shared" si="89"/>
        <v>1794663.7588371469</v>
      </c>
      <c r="N328" s="312">
        <f t="shared" si="89"/>
        <v>1727075.6087243748</v>
      </c>
      <c r="O328" s="312">
        <f t="shared" si="89"/>
        <v>2067488.5367654401</v>
      </c>
      <c r="P328" s="312">
        <f t="shared" si="89"/>
        <v>2403875.0680715973</v>
      </c>
      <c r="Q328" s="312">
        <f t="shared" si="90"/>
        <v>2452002.050269891</v>
      </c>
      <c r="R328" s="312">
        <f t="shared" si="91"/>
        <v>2014269.9553362569</v>
      </c>
      <c r="S328" s="312">
        <f t="shared" si="91"/>
        <v>2385010.5220824247</v>
      </c>
      <c r="T328" s="312">
        <f t="shared" si="91"/>
        <v>3183644.0826722807</v>
      </c>
      <c r="U328" s="313">
        <f t="shared" si="91"/>
        <v>3044281.7442543316</v>
      </c>
      <c r="V328" s="313">
        <f t="shared" si="91"/>
        <v>2932432.4218350565</v>
      </c>
    </row>
    <row r="329" spans="3:22">
      <c r="C329" s="363" t="s">
        <v>441</v>
      </c>
      <c r="D329" s="316"/>
      <c r="F329" s="31"/>
      <c r="I329" s="506">
        <f t="shared" si="89"/>
        <v>1160851.9118440805</v>
      </c>
      <c r="J329" s="312">
        <f t="shared" si="89"/>
        <v>1291068.0971829668</v>
      </c>
      <c r="K329" s="312">
        <f t="shared" si="89"/>
        <v>1277755.9254008594</v>
      </c>
      <c r="L329" s="312">
        <f t="shared" si="89"/>
        <v>1275066.874946767</v>
      </c>
      <c r="M329" s="312">
        <f t="shared" si="89"/>
        <v>1142058.7556236391</v>
      </c>
      <c r="N329" s="312">
        <f t="shared" si="89"/>
        <v>1099048.1146427842</v>
      </c>
      <c r="O329" s="312">
        <f t="shared" si="89"/>
        <v>1315674.5233961893</v>
      </c>
      <c r="P329" s="312">
        <f t="shared" si="89"/>
        <v>1529738.6796819258</v>
      </c>
      <c r="Q329" s="312">
        <f t="shared" si="90"/>
        <v>1560364.9410808401</v>
      </c>
      <c r="R329" s="312">
        <f t="shared" si="91"/>
        <v>1281808.1533958002</v>
      </c>
      <c r="S329" s="312">
        <f t="shared" si="91"/>
        <v>1517733.9685979069</v>
      </c>
      <c r="T329" s="312">
        <f t="shared" si="91"/>
        <v>2025955.3253369064</v>
      </c>
      <c r="U329" s="313">
        <f t="shared" si="91"/>
        <v>1937270.2008891206</v>
      </c>
      <c r="V329" s="313">
        <f t="shared" si="91"/>
        <v>1866093.3593495816</v>
      </c>
    </row>
    <row r="330" spans="3:22">
      <c r="C330" s="363" t="s">
        <v>442</v>
      </c>
      <c r="D330" s="316"/>
      <c r="F330" s="31"/>
      <c r="I330" s="506">
        <f t="shared" si="89"/>
        <v>829179.93703148596</v>
      </c>
      <c r="J330" s="312">
        <f t="shared" si="89"/>
        <v>922191.49798783346</v>
      </c>
      <c r="K330" s="312">
        <f t="shared" si="89"/>
        <v>912682.80385775678</v>
      </c>
      <c r="L330" s="312">
        <f t="shared" si="89"/>
        <v>910762.05353340495</v>
      </c>
      <c r="M330" s="312">
        <f t="shared" si="89"/>
        <v>815756.25401688507</v>
      </c>
      <c r="N330" s="312">
        <f t="shared" si="89"/>
        <v>785034.3676019886</v>
      </c>
      <c r="O330" s="312">
        <f t="shared" si="89"/>
        <v>939767.5167115638</v>
      </c>
      <c r="P330" s="312">
        <f t="shared" si="89"/>
        <v>1092670.48548709</v>
      </c>
      <c r="Q330" s="312">
        <f t="shared" si="90"/>
        <v>1114546.3864863142</v>
      </c>
      <c r="R330" s="312">
        <f t="shared" si="91"/>
        <v>915577.25242557144</v>
      </c>
      <c r="S330" s="312">
        <f t="shared" si="91"/>
        <v>1084095.6918556476</v>
      </c>
      <c r="T330" s="312">
        <f t="shared" si="91"/>
        <v>1447110.9466692188</v>
      </c>
      <c r="U330" s="313">
        <f t="shared" si="91"/>
        <v>1383764.4292065145</v>
      </c>
      <c r="V330" s="313">
        <f t="shared" si="91"/>
        <v>1332923.8281068441</v>
      </c>
    </row>
    <row r="331" spans="3:22">
      <c r="C331" s="434" t="s">
        <v>436</v>
      </c>
      <c r="D331" s="316"/>
      <c r="F331" s="31"/>
      <c r="I331" s="521">
        <f t="shared" ref="I331:P338" si="92">I323*I291</f>
        <v>102516792.21480191</v>
      </c>
      <c r="J331" s="361">
        <f t="shared" si="92"/>
        <v>114016403.38758667</v>
      </c>
      <c r="K331" s="361">
        <f t="shared" si="92"/>
        <v>112840783.02241355</v>
      </c>
      <c r="L331" s="361">
        <f t="shared" si="92"/>
        <v>112603308.43685734</v>
      </c>
      <c r="M331" s="361">
        <f t="shared" si="92"/>
        <v>100857136.86026943</v>
      </c>
      <c r="N331" s="361">
        <f t="shared" si="92"/>
        <v>97058794.539882228</v>
      </c>
      <c r="O331" s="361">
        <f t="shared" si="92"/>
        <v>116189438.42979334</v>
      </c>
      <c r="P331" s="361">
        <f t="shared" si="92"/>
        <v>135093805.47840384</v>
      </c>
      <c r="Q331" s="361">
        <f t="shared" ref="Q331:V331" si="93">Q323*Q291</f>
        <v>137798462.32921705</v>
      </c>
      <c r="R331" s="361">
        <f t="shared" si="93"/>
        <v>113198642.11807065</v>
      </c>
      <c r="S331" s="361">
        <f t="shared" si="93"/>
        <v>134033649.17488007</v>
      </c>
      <c r="T331" s="361">
        <f t="shared" si="93"/>
        <v>178915535.22455797</v>
      </c>
      <c r="U331" s="435">
        <f t="shared" si="93"/>
        <v>171083602.15644181</v>
      </c>
      <c r="V331" s="435">
        <f t="shared" si="93"/>
        <v>164797855.11139163</v>
      </c>
    </row>
    <row r="332" spans="3:22">
      <c r="C332" s="434" t="s">
        <v>437</v>
      </c>
      <c r="D332" s="316"/>
      <c r="F332" s="31"/>
      <c r="I332" s="521">
        <f t="shared" si="92"/>
        <v>31659597.595747642</v>
      </c>
      <c r="J332" s="361">
        <f t="shared" si="92"/>
        <v>35210948.104989998</v>
      </c>
      <c r="K332" s="361">
        <f t="shared" si="92"/>
        <v>34847888.874568887</v>
      </c>
      <c r="L332" s="361">
        <f t="shared" si="92"/>
        <v>34774551.13491182</v>
      </c>
      <c r="M332" s="361">
        <f t="shared" si="92"/>
        <v>31147056.971553788</v>
      </c>
      <c r="N332" s="361">
        <f t="shared" si="92"/>
        <v>29974039.490257744</v>
      </c>
      <c r="O332" s="361">
        <f t="shared" si="92"/>
        <v>35882032.456259705</v>
      </c>
      <c r="P332" s="361">
        <f t="shared" si="92"/>
        <v>41720145.809507065</v>
      </c>
      <c r="Q332" s="361">
        <f t="shared" ref="Q332:V338" si="94">Q324*Q292</f>
        <v>42555407.4840229</v>
      </c>
      <c r="R332" s="361">
        <f t="shared" si="94"/>
        <v>34958404.183521815</v>
      </c>
      <c r="S332" s="361">
        <f t="shared" si="94"/>
        <v>41392744.59812472</v>
      </c>
      <c r="T332" s="361">
        <f t="shared" si="94"/>
        <v>55253327.054642893</v>
      </c>
      <c r="U332" s="435">
        <f t="shared" si="94"/>
        <v>52834641.842430547</v>
      </c>
      <c r="V332" s="435">
        <f t="shared" si="94"/>
        <v>50893455.254988581</v>
      </c>
    </row>
    <row r="333" spans="3:22">
      <c r="C333" s="434" t="s">
        <v>416</v>
      </c>
      <c r="D333" s="316"/>
      <c r="F333" s="31"/>
      <c r="I333" s="521">
        <f t="shared" si="92"/>
        <v>0</v>
      </c>
      <c r="J333" s="361">
        <f t="shared" si="92"/>
        <v>0</v>
      </c>
      <c r="K333" s="361">
        <f t="shared" si="92"/>
        <v>0</v>
      </c>
      <c r="L333" s="361">
        <f t="shared" si="92"/>
        <v>0</v>
      </c>
      <c r="M333" s="361">
        <f t="shared" si="92"/>
        <v>0</v>
      </c>
      <c r="N333" s="361">
        <f t="shared" si="92"/>
        <v>0</v>
      </c>
      <c r="O333" s="361">
        <f t="shared" si="92"/>
        <v>0</v>
      </c>
      <c r="P333" s="361">
        <f t="shared" si="92"/>
        <v>0</v>
      </c>
      <c r="Q333" s="361">
        <f t="shared" si="94"/>
        <v>0</v>
      </c>
      <c r="R333" s="361">
        <f t="shared" si="94"/>
        <v>0</v>
      </c>
      <c r="S333" s="361">
        <f t="shared" si="94"/>
        <v>0</v>
      </c>
      <c r="T333" s="361">
        <f t="shared" si="94"/>
        <v>0</v>
      </c>
      <c r="U333" s="435">
        <f t="shared" si="94"/>
        <v>0</v>
      </c>
      <c r="V333" s="435">
        <f t="shared" si="94"/>
        <v>0</v>
      </c>
    </row>
    <row r="334" spans="3:22">
      <c r="C334" s="436" t="s">
        <v>438</v>
      </c>
      <c r="D334" s="316"/>
      <c r="F334" s="31"/>
      <c r="I334" s="521">
        <f t="shared" si="92"/>
        <v>3814227.7103448352</v>
      </c>
      <c r="J334" s="361">
        <f t="shared" si="92"/>
        <v>4242080.8907440333</v>
      </c>
      <c r="K334" s="361">
        <f t="shared" si="92"/>
        <v>4198340.897745681</v>
      </c>
      <c r="L334" s="361">
        <f t="shared" si="92"/>
        <v>4189505.4462536625</v>
      </c>
      <c r="M334" s="361">
        <f t="shared" si="92"/>
        <v>3752478.7684776708</v>
      </c>
      <c r="N334" s="361">
        <f t="shared" si="92"/>
        <v>3611158.0909691472</v>
      </c>
      <c r="O334" s="361">
        <f t="shared" si="92"/>
        <v>4322930.5768731935</v>
      </c>
      <c r="P334" s="361">
        <f t="shared" si="92"/>
        <v>5026284.2332406128</v>
      </c>
      <c r="Q334" s="361">
        <f t="shared" si="94"/>
        <v>5126913.3778370451</v>
      </c>
      <c r="R334" s="361">
        <f t="shared" si="94"/>
        <v>4211655.3611576278</v>
      </c>
      <c r="S334" s="361">
        <f t="shared" si="94"/>
        <v>4986840.182535979</v>
      </c>
      <c r="T334" s="361">
        <f t="shared" si="94"/>
        <v>6656710.3546784054</v>
      </c>
      <c r="U334" s="435">
        <f t="shared" si="94"/>
        <v>6365316.3743499666</v>
      </c>
      <c r="V334" s="435">
        <f t="shared" si="94"/>
        <v>6131449.6092914818</v>
      </c>
    </row>
    <row r="335" spans="3:22">
      <c r="C335" s="436" t="s">
        <v>439</v>
      </c>
      <c r="D335" s="316"/>
      <c r="F335" s="31"/>
      <c r="I335" s="521">
        <f t="shared" si="92"/>
        <v>0</v>
      </c>
      <c r="J335" s="361">
        <f t="shared" si="92"/>
        <v>0</v>
      </c>
      <c r="K335" s="361">
        <f t="shared" si="92"/>
        <v>0</v>
      </c>
      <c r="L335" s="361">
        <f t="shared" si="92"/>
        <v>0</v>
      </c>
      <c r="M335" s="361">
        <f t="shared" si="92"/>
        <v>0</v>
      </c>
      <c r="N335" s="361">
        <f t="shared" si="92"/>
        <v>0</v>
      </c>
      <c r="O335" s="361">
        <f t="shared" si="92"/>
        <v>0</v>
      </c>
      <c r="P335" s="361">
        <f t="shared" si="92"/>
        <v>0</v>
      </c>
      <c r="Q335" s="361">
        <f t="shared" si="94"/>
        <v>0</v>
      </c>
      <c r="R335" s="361">
        <f t="shared" si="94"/>
        <v>0</v>
      </c>
      <c r="S335" s="361">
        <f t="shared" si="94"/>
        <v>0</v>
      </c>
      <c r="T335" s="361">
        <f t="shared" si="94"/>
        <v>0</v>
      </c>
      <c r="U335" s="435">
        <f t="shared" si="94"/>
        <v>0</v>
      </c>
      <c r="V335" s="435">
        <f t="shared" si="94"/>
        <v>0</v>
      </c>
    </row>
    <row r="336" spans="3:22">
      <c r="C336" s="436" t="s">
        <v>440</v>
      </c>
      <c r="D336" s="316"/>
      <c r="F336" s="31"/>
      <c r="I336" s="521">
        <f t="shared" si="92"/>
        <v>1824195.861469269</v>
      </c>
      <c r="J336" s="361">
        <f t="shared" si="92"/>
        <v>2028821.2955732332</v>
      </c>
      <c r="K336" s="361">
        <f t="shared" si="92"/>
        <v>2007902.1684870645</v>
      </c>
      <c r="L336" s="361">
        <f t="shared" si="92"/>
        <v>2003676.5177734906</v>
      </c>
      <c r="M336" s="361">
        <f t="shared" si="92"/>
        <v>1794663.7588371469</v>
      </c>
      <c r="N336" s="361">
        <f t="shared" si="92"/>
        <v>1727075.6087243748</v>
      </c>
      <c r="O336" s="361">
        <f t="shared" si="92"/>
        <v>2067488.5367654401</v>
      </c>
      <c r="P336" s="361">
        <f t="shared" si="92"/>
        <v>2403875.0680715973</v>
      </c>
      <c r="Q336" s="361">
        <f t="shared" si="94"/>
        <v>2452002.050269891</v>
      </c>
      <c r="R336" s="361">
        <f t="shared" si="94"/>
        <v>2014269.9553362569</v>
      </c>
      <c r="S336" s="361">
        <f t="shared" si="94"/>
        <v>2385010.5220824247</v>
      </c>
      <c r="T336" s="361">
        <f t="shared" si="94"/>
        <v>3183644.0826722807</v>
      </c>
      <c r="U336" s="435">
        <f t="shared" si="94"/>
        <v>3044281.7442543316</v>
      </c>
      <c r="V336" s="435">
        <f t="shared" si="94"/>
        <v>2932432.4218350565</v>
      </c>
    </row>
    <row r="337" spans="3:22">
      <c r="C337" s="436" t="s">
        <v>441</v>
      </c>
      <c r="D337" s="316"/>
      <c r="F337" s="31"/>
      <c r="I337" s="521">
        <f t="shared" si="92"/>
        <v>0</v>
      </c>
      <c r="J337" s="361">
        <f t="shared" si="92"/>
        <v>0</v>
      </c>
      <c r="K337" s="361">
        <f t="shared" si="92"/>
        <v>0</v>
      </c>
      <c r="L337" s="361">
        <f t="shared" si="92"/>
        <v>0</v>
      </c>
      <c r="M337" s="361">
        <f t="shared" si="92"/>
        <v>0</v>
      </c>
      <c r="N337" s="361">
        <f t="shared" si="92"/>
        <v>0</v>
      </c>
      <c r="O337" s="361">
        <f t="shared" si="92"/>
        <v>0</v>
      </c>
      <c r="P337" s="361">
        <f t="shared" si="92"/>
        <v>0</v>
      </c>
      <c r="Q337" s="361">
        <f t="shared" si="94"/>
        <v>0</v>
      </c>
      <c r="R337" s="361">
        <f t="shared" si="94"/>
        <v>0</v>
      </c>
      <c r="S337" s="361">
        <f t="shared" si="94"/>
        <v>0</v>
      </c>
      <c r="T337" s="361">
        <f t="shared" si="94"/>
        <v>0</v>
      </c>
      <c r="U337" s="435">
        <f t="shared" si="94"/>
        <v>0</v>
      </c>
      <c r="V337" s="435">
        <f t="shared" si="94"/>
        <v>0</v>
      </c>
    </row>
    <row r="338" spans="3:22">
      <c r="C338" s="436" t="s">
        <v>442</v>
      </c>
      <c r="D338" s="316"/>
      <c r="F338" s="31"/>
      <c r="I338" s="521">
        <f t="shared" si="92"/>
        <v>829179.93703148596</v>
      </c>
      <c r="J338" s="361">
        <f t="shared" si="92"/>
        <v>922191.49798783346</v>
      </c>
      <c r="K338" s="361">
        <f t="shared" si="92"/>
        <v>912682.80385775678</v>
      </c>
      <c r="L338" s="361">
        <f t="shared" si="92"/>
        <v>910762.05353340495</v>
      </c>
      <c r="M338" s="361">
        <f t="shared" si="92"/>
        <v>815756.25401688507</v>
      </c>
      <c r="N338" s="361">
        <f t="shared" si="92"/>
        <v>785034.3676019886</v>
      </c>
      <c r="O338" s="361">
        <f t="shared" si="92"/>
        <v>939767.5167115638</v>
      </c>
      <c r="P338" s="361">
        <f t="shared" si="92"/>
        <v>1092670.48548709</v>
      </c>
      <c r="Q338" s="361">
        <f t="shared" si="94"/>
        <v>1114546.3864863142</v>
      </c>
      <c r="R338" s="361">
        <f t="shared" si="94"/>
        <v>915577.25242557144</v>
      </c>
      <c r="S338" s="361">
        <f t="shared" si="94"/>
        <v>1084095.6918556476</v>
      </c>
      <c r="T338" s="361">
        <f t="shared" si="94"/>
        <v>1447110.9466692188</v>
      </c>
      <c r="U338" s="435">
        <f t="shared" si="94"/>
        <v>1383764.4292065145</v>
      </c>
      <c r="V338" s="435">
        <f t="shared" si="94"/>
        <v>1332923.8281068441</v>
      </c>
    </row>
    <row r="339" spans="3:22">
      <c r="C339" s="436" t="s">
        <v>241</v>
      </c>
      <c r="D339" s="316"/>
      <c r="F339" s="31"/>
      <c r="I339" s="521">
        <f t="shared" ref="I339:P339" si="95">SUM(I331:I338)</f>
        <v>140643993.31939512</v>
      </c>
      <c r="J339" s="361">
        <f t="shared" si="95"/>
        <v>156420445.17688176</v>
      </c>
      <c r="K339" s="361">
        <f t="shared" si="95"/>
        <v>154807597.76707292</v>
      </c>
      <c r="L339" s="361">
        <f t="shared" si="95"/>
        <v>154481803.58932972</v>
      </c>
      <c r="M339" s="361">
        <f t="shared" si="95"/>
        <v>138367092.61315489</v>
      </c>
      <c r="N339" s="361">
        <f t="shared" si="95"/>
        <v>133156102.09743547</v>
      </c>
      <c r="O339" s="361">
        <f t="shared" si="95"/>
        <v>159401657.51640323</v>
      </c>
      <c r="P339" s="361">
        <f t="shared" si="95"/>
        <v>185336781.07471022</v>
      </c>
      <c r="Q339" s="361">
        <f t="shared" ref="Q339:V339" si="96">SUM(Q331:Q338)</f>
        <v>189047331.62783319</v>
      </c>
      <c r="R339" s="361">
        <f t="shared" si="96"/>
        <v>155298548.87051192</v>
      </c>
      <c r="S339" s="361">
        <f t="shared" si="96"/>
        <v>183882340.16947883</v>
      </c>
      <c r="T339" s="361">
        <f t="shared" si="96"/>
        <v>245456327.66322073</v>
      </c>
      <c r="U339" s="435">
        <f t="shared" si="96"/>
        <v>234711606.54668313</v>
      </c>
      <c r="V339" s="435">
        <f t="shared" si="96"/>
        <v>226088116.22561362</v>
      </c>
    </row>
    <row r="340" spans="3:22">
      <c r="C340" s="388" t="s">
        <v>346</v>
      </c>
      <c r="D340" s="467"/>
      <c r="E340" s="467"/>
      <c r="F340" s="515"/>
      <c r="I340" s="522"/>
      <c r="J340" s="468"/>
      <c r="K340" s="468"/>
      <c r="L340" s="468"/>
      <c r="M340" s="468"/>
      <c r="N340" s="468"/>
      <c r="O340" s="468"/>
      <c r="P340" s="468"/>
      <c r="Q340" s="468"/>
      <c r="R340" s="468"/>
      <c r="S340" s="468"/>
      <c r="T340" s="468"/>
      <c r="U340" s="314"/>
      <c r="V340" s="314"/>
    </row>
    <row r="341" spans="3:22">
      <c r="C341" s="437" t="s">
        <v>343</v>
      </c>
      <c r="F341" s="31"/>
      <c r="I341" s="523">
        <f t="shared" ref="I341:V341" si="97">I59</f>
        <v>80604103.896556765</v>
      </c>
      <c r="J341" s="323">
        <f t="shared" si="97"/>
        <v>87406364.906085491</v>
      </c>
      <c r="K341" s="323">
        <f t="shared" si="97"/>
        <v>85697078.523032755</v>
      </c>
      <c r="L341" s="323">
        <f t="shared" si="97"/>
        <v>81852825.473536476</v>
      </c>
      <c r="M341" s="323">
        <f t="shared" si="97"/>
        <v>73752997.631663412</v>
      </c>
      <c r="N341" s="323">
        <f t="shared" si="97"/>
        <v>68846630.996527508</v>
      </c>
      <c r="O341" s="323">
        <f t="shared" si="97"/>
        <v>69792531.486041397</v>
      </c>
      <c r="P341" s="323">
        <f t="shared" si="97"/>
        <v>84644517.039625049</v>
      </c>
      <c r="Q341" s="323">
        <f t="shared" si="97"/>
        <v>85207450.767578378</v>
      </c>
      <c r="R341" s="323">
        <f t="shared" si="97"/>
        <v>70232068.24718146</v>
      </c>
      <c r="S341" s="323">
        <f t="shared" si="97"/>
        <v>85056021.043333322</v>
      </c>
      <c r="T341" s="323">
        <f t="shared" si="97"/>
        <v>112484599.37867735</v>
      </c>
      <c r="U341" s="433">
        <f t="shared" si="97"/>
        <v>107917933.21416271</v>
      </c>
      <c r="V341" s="433">
        <f t="shared" si="97"/>
        <v>100244961.271529</v>
      </c>
    </row>
    <row r="342" spans="3:22">
      <c r="C342" s="71" t="s">
        <v>436</v>
      </c>
      <c r="F342" s="31"/>
      <c r="I342" s="506">
        <f t="shared" ref="I342:P349" si="98">I$341*$D291</f>
        <v>54810790.649658605</v>
      </c>
      <c r="J342" s="312">
        <f t="shared" si="98"/>
        <v>59436328.136138141</v>
      </c>
      <c r="K342" s="312">
        <f t="shared" si="98"/>
        <v>58274013.395662278</v>
      </c>
      <c r="L342" s="312">
        <f t="shared" si="98"/>
        <v>55659921.32200481</v>
      </c>
      <c r="M342" s="312">
        <f t="shared" si="98"/>
        <v>50152038.389531121</v>
      </c>
      <c r="N342" s="312">
        <f t="shared" si="98"/>
        <v>46815709.077638708</v>
      </c>
      <c r="O342" s="312">
        <f t="shared" si="98"/>
        <v>47458921.410508156</v>
      </c>
      <c r="P342" s="312">
        <f t="shared" si="98"/>
        <v>57558271.586945035</v>
      </c>
      <c r="Q342" s="312">
        <f t="shared" ref="Q342:Q349" si="99">Q$341*$D291</f>
        <v>57941066.5219533</v>
      </c>
      <c r="R342" s="312">
        <f>R$341*$D291</f>
        <v>47757806.408083394</v>
      </c>
      <c r="S342" s="312">
        <f>S$341*$D291</f>
        <v>57838094.30946666</v>
      </c>
      <c r="T342" s="312">
        <f>T$341*$D291</f>
        <v>76489527.577500612</v>
      </c>
      <c r="U342" s="313">
        <f>U$341*$D291</f>
        <v>73384194.58563064</v>
      </c>
      <c r="V342" s="313">
        <f>V$341*$D291</f>
        <v>68166573.664639726</v>
      </c>
    </row>
    <row r="343" spans="3:22">
      <c r="C343" s="71" t="s">
        <v>437</v>
      </c>
      <c r="F343" s="31"/>
      <c r="I343" s="506">
        <f t="shared" si="98"/>
        <v>16926861.818276919</v>
      </c>
      <c r="J343" s="312">
        <f t="shared" si="98"/>
        <v>18355336.630277954</v>
      </c>
      <c r="K343" s="312">
        <f t="shared" si="98"/>
        <v>17996386.489836879</v>
      </c>
      <c r="L343" s="312">
        <f t="shared" si="98"/>
        <v>17189093.349442661</v>
      </c>
      <c r="M343" s="312">
        <f t="shared" si="98"/>
        <v>15488129.502649317</v>
      </c>
      <c r="N343" s="312">
        <f t="shared" si="98"/>
        <v>14457792.509270776</v>
      </c>
      <c r="O343" s="312">
        <f t="shared" si="98"/>
        <v>14656431.612068692</v>
      </c>
      <c r="P343" s="312">
        <f t="shared" si="98"/>
        <v>17775348.578321259</v>
      </c>
      <c r="Q343" s="312">
        <f t="shared" si="99"/>
        <v>17893564.66119146</v>
      </c>
      <c r="R343" s="312">
        <f t="shared" ref="R343:V349" si="100">R$341*$D292</f>
        <v>14748734.331908107</v>
      </c>
      <c r="S343" s="312">
        <f t="shared" si="100"/>
        <v>17861764.419099998</v>
      </c>
      <c r="T343" s="312">
        <f t="shared" si="100"/>
        <v>23621765.869522244</v>
      </c>
      <c r="U343" s="313">
        <f t="shared" si="100"/>
        <v>22662765.974974167</v>
      </c>
      <c r="V343" s="313">
        <f t="shared" si="100"/>
        <v>21051441.867021091</v>
      </c>
    </row>
    <row r="344" spans="3:22">
      <c r="C344" s="71" t="s">
        <v>416</v>
      </c>
      <c r="F344" s="31"/>
      <c r="I344" s="506">
        <f t="shared" si="98"/>
        <v>8866451.4286212437</v>
      </c>
      <c r="J344" s="312">
        <f t="shared" si="98"/>
        <v>9614700.1396694034</v>
      </c>
      <c r="K344" s="312">
        <f t="shared" si="98"/>
        <v>9426678.6375336032</v>
      </c>
      <c r="L344" s="312">
        <f t="shared" si="98"/>
        <v>9003810.8020890132</v>
      </c>
      <c r="M344" s="312">
        <f t="shared" si="98"/>
        <v>8112829.7394829756</v>
      </c>
      <c r="N344" s="312">
        <f t="shared" si="98"/>
        <v>7573129.4096180256</v>
      </c>
      <c r="O344" s="312">
        <f t="shared" si="98"/>
        <v>7677178.4634645535</v>
      </c>
      <c r="P344" s="312">
        <f t="shared" si="98"/>
        <v>9310896.8743587546</v>
      </c>
      <c r="Q344" s="312">
        <f t="shared" si="99"/>
        <v>9372819.5844336208</v>
      </c>
      <c r="R344" s="312">
        <f t="shared" si="100"/>
        <v>7725527.5071899602</v>
      </c>
      <c r="S344" s="312">
        <f t="shared" si="100"/>
        <v>9356162.3147666659</v>
      </c>
      <c r="T344" s="312">
        <f t="shared" si="100"/>
        <v>12373305.931654509</v>
      </c>
      <c r="U344" s="313">
        <f t="shared" si="100"/>
        <v>11870972.653557898</v>
      </c>
      <c r="V344" s="313">
        <f t="shared" si="100"/>
        <v>11026945.73986819</v>
      </c>
    </row>
    <row r="345" spans="3:22">
      <c r="C345" s="363" t="s">
        <v>438</v>
      </c>
      <c r="F345" s="31"/>
      <c r="I345" s="506">
        <f t="shared" si="98"/>
        <v>2039283.8285828861</v>
      </c>
      <c r="J345" s="312">
        <f t="shared" si="98"/>
        <v>2211381.0321239629</v>
      </c>
      <c r="K345" s="312">
        <f t="shared" si="98"/>
        <v>2168136.0866327286</v>
      </c>
      <c r="L345" s="312">
        <f t="shared" si="98"/>
        <v>2070876.4844804727</v>
      </c>
      <c r="M345" s="312">
        <f t="shared" si="98"/>
        <v>1865950.8400810843</v>
      </c>
      <c r="N345" s="312">
        <f t="shared" si="98"/>
        <v>1741819.7642121459</v>
      </c>
      <c r="O345" s="312">
        <f t="shared" si="98"/>
        <v>1765751.0465968472</v>
      </c>
      <c r="P345" s="312">
        <f t="shared" si="98"/>
        <v>2141506.2811025139</v>
      </c>
      <c r="Q345" s="312">
        <f t="shared" si="99"/>
        <v>2155748.5044197328</v>
      </c>
      <c r="R345" s="312">
        <f t="shared" si="100"/>
        <v>1776871.326653691</v>
      </c>
      <c r="S345" s="312">
        <f t="shared" si="100"/>
        <v>2151917.3323963331</v>
      </c>
      <c r="T345" s="312">
        <f t="shared" si="100"/>
        <v>2845860.3642805368</v>
      </c>
      <c r="U345" s="313">
        <f t="shared" si="100"/>
        <v>2730323.7103183162</v>
      </c>
      <c r="V345" s="313">
        <f t="shared" si="100"/>
        <v>2536197.5201696837</v>
      </c>
    </row>
    <row r="346" spans="3:22">
      <c r="C346" s="363" t="s">
        <v>439</v>
      </c>
      <c r="F346" s="31"/>
      <c r="I346" s="506">
        <f t="shared" si="98"/>
        <v>4699219.2571692597</v>
      </c>
      <c r="J346" s="312">
        <f t="shared" si="98"/>
        <v>5095791.0740247844</v>
      </c>
      <c r="K346" s="312">
        <f t="shared" si="98"/>
        <v>4996139.6778928097</v>
      </c>
      <c r="L346" s="312">
        <f t="shared" si="98"/>
        <v>4772019.7251071772</v>
      </c>
      <c r="M346" s="312">
        <f t="shared" si="98"/>
        <v>4299799.7619259777</v>
      </c>
      <c r="N346" s="312">
        <f t="shared" si="98"/>
        <v>4013758.587097554</v>
      </c>
      <c r="O346" s="312">
        <f t="shared" si="98"/>
        <v>4068904.5856362139</v>
      </c>
      <c r="P346" s="312">
        <f t="shared" si="98"/>
        <v>4934775.3434101408</v>
      </c>
      <c r="Q346" s="312">
        <f t="shared" si="99"/>
        <v>4967594.3797498196</v>
      </c>
      <c r="R346" s="312">
        <f t="shared" si="100"/>
        <v>4094529.5788106793</v>
      </c>
      <c r="S346" s="312">
        <f t="shared" si="100"/>
        <v>4958766.0268263333</v>
      </c>
      <c r="T346" s="312">
        <f t="shared" si="100"/>
        <v>6557852.1437768899</v>
      </c>
      <c r="U346" s="313">
        <f t="shared" si="100"/>
        <v>6291615.5063856859</v>
      </c>
      <c r="V346" s="313">
        <f t="shared" si="100"/>
        <v>5844281.2421301417</v>
      </c>
    </row>
    <row r="347" spans="3:22">
      <c r="C347" s="363" t="s">
        <v>440</v>
      </c>
      <c r="F347" s="31"/>
      <c r="I347" s="506">
        <f t="shared" si="98"/>
        <v>975309.65714833688</v>
      </c>
      <c r="J347" s="312">
        <f t="shared" si="98"/>
        <v>1057617.0153636343</v>
      </c>
      <c r="K347" s="312">
        <f t="shared" si="98"/>
        <v>1036934.6501286963</v>
      </c>
      <c r="L347" s="312">
        <f t="shared" si="98"/>
        <v>990419.18822979135</v>
      </c>
      <c r="M347" s="312">
        <f t="shared" si="98"/>
        <v>892411.27134312724</v>
      </c>
      <c r="N347" s="312">
        <f t="shared" si="98"/>
        <v>833044.23505798285</v>
      </c>
      <c r="O347" s="312">
        <f t="shared" si="98"/>
        <v>844489.63098110084</v>
      </c>
      <c r="P347" s="312">
        <f t="shared" si="98"/>
        <v>1024198.656179463</v>
      </c>
      <c r="Q347" s="312">
        <f t="shared" si="99"/>
        <v>1031010.1542876983</v>
      </c>
      <c r="R347" s="312">
        <f t="shared" si="100"/>
        <v>849808.02579089568</v>
      </c>
      <c r="S347" s="312">
        <f t="shared" si="100"/>
        <v>1029177.8546243332</v>
      </c>
      <c r="T347" s="312">
        <f t="shared" si="100"/>
        <v>1361063.652481996</v>
      </c>
      <c r="U347" s="313">
        <f t="shared" si="100"/>
        <v>1305806.9918913688</v>
      </c>
      <c r="V347" s="313">
        <f t="shared" si="100"/>
        <v>1212964.0313855009</v>
      </c>
    </row>
    <row r="348" spans="3:22">
      <c r="C348" s="363" t="s">
        <v>441</v>
      </c>
      <c r="F348" s="31"/>
      <c r="I348" s="506">
        <f t="shared" si="98"/>
        <v>620651.6000034872</v>
      </c>
      <c r="J348" s="312">
        <f t="shared" si="98"/>
        <v>673029.00977685838</v>
      </c>
      <c r="K348" s="312">
        <f t="shared" si="98"/>
        <v>659867.50462735235</v>
      </c>
      <c r="L348" s="312">
        <f t="shared" si="98"/>
        <v>630266.75614623097</v>
      </c>
      <c r="M348" s="312">
        <f t="shared" si="98"/>
        <v>567898.08176380838</v>
      </c>
      <c r="N348" s="312">
        <f t="shared" si="98"/>
        <v>530119.0586732619</v>
      </c>
      <c r="O348" s="312">
        <f t="shared" si="98"/>
        <v>537402.49244251882</v>
      </c>
      <c r="P348" s="312">
        <f t="shared" si="98"/>
        <v>651762.78120511293</v>
      </c>
      <c r="Q348" s="312">
        <f t="shared" si="99"/>
        <v>656097.37091035361</v>
      </c>
      <c r="R348" s="312">
        <f t="shared" si="100"/>
        <v>540786.92550329736</v>
      </c>
      <c r="S348" s="312">
        <f t="shared" si="100"/>
        <v>654931.36203366669</v>
      </c>
      <c r="T348" s="312">
        <f t="shared" si="100"/>
        <v>866131.41521581577</v>
      </c>
      <c r="U348" s="313">
        <f t="shared" si="100"/>
        <v>830968.08574905293</v>
      </c>
      <c r="V348" s="313">
        <f t="shared" si="100"/>
        <v>771886.20179077343</v>
      </c>
    </row>
    <row r="349" spans="3:22">
      <c r="C349" s="363" t="s">
        <v>442</v>
      </c>
      <c r="F349" s="31"/>
      <c r="I349" s="506">
        <f t="shared" si="98"/>
        <v>443322.57143106224</v>
      </c>
      <c r="J349" s="312">
        <f t="shared" si="98"/>
        <v>480735.00698347023</v>
      </c>
      <c r="K349" s="312">
        <f t="shared" si="98"/>
        <v>471333.93187668017</v>
      </c>
      <c r="L349" s="312">
        <f t="shared" si="98"/>
        <v>450190.54010445066</v>
      </c>
      <c r="M349" s="312">
        <f t="shared" si="98"/>
        <v>405641.48697414878</v>
      </c>
      <c r="N349" s="312">
        <f t="shared" si="98"/>
        <v>378656.47048090131</v>
      </c>
      <c r="O349" s="312">
        <f t="shared" si="98"/>
        <v>383858.9231732277</v>
      </c>
      <c r="P349" s="312">
        <f t="shared" si="98"/>
        <v>465544.84371793782</v>
      </c>
      <c r="Q349" s="312">
        <f t="shared" si="99"/>
        <v>468640.97922168113</v>
      </c>
      <c r="R349" s="312">
        <f t="shared" si="100"/>
        <v>386276.37535949808</v>
      </c>
      <c r="S349" s="312">
        <f t="shared" si="100"/>
        <v>467808.11573833332</v>
      </c>
      <c r="T349" s="312">
        <f t="shared" si="100"/>
        <v>618665.29658272548</v>
      </c>
      <c r="U349" s="313">
        <f t="shared" si="100"/>
        <v>593548.6326778949</v>
      </c>
      <c r="V349" s="313">
        <f t="shared" si="100"/>
        <v>551347.28699340962</v>
      </c>
    </row>
    <row r="350" spans="3:22">
      <c r="C350" s="434" t="s">
        <v>436</v>
      </c>
      <c r="F350" s="31"/>
      <c r="I350" s="521">
        <f t="shared" ref="I350:P357" si="101">I342*I291</f>
        <v>54810790.649658605</v>
      </c>
      <c r="J350" s="361">
        <f t="shared" si="101"/>
        <v>59436328.136138141</v>
      </c>
      <c r="K350" s="361">
        <f t="shared" si="101"/>
        <v>58274013.395662278</v>
      </c>
      <c r="L350" s="361">
        <f t="shared" si="101"/>
        <v>55659921.32200481</v>
      </c>
      <c r="M350" s="361">
        <f t="shared" si="101"/>
        <v>50152038.389531121</v>
      </c>
      <c r="N350" s="361">
        <f t="shared" si="101"/>
        <v>46815709.077638708</v>
      </c>
      <c r="O350" s="361">
        <f t="shared" si="101"/>
        <v>47458921.410508156</v>
      </c>
      <c r="P350" s="361">
        <f t="shared" si="101"/>
        <v>57558271.586945035</v>
      </c>
      <c r="Q350" s="361">
        <f t="shared" ref="Q350:V350" si="102">Q342*Q291</f>
        <v>57941066.5219533</v>
      </c>
      <c r="R350" s="361">
        <f t="shared" si="102"/>
        <v>47757806.408083394</v>
      </c>
      <c r="S350" s="361">
        <f t="shared" si="102"/>
        <v>57838094.30946666</v>
      </c>
      <c r="T350" s="361">
        <f t="shared" si="102"/>
        <v>76489527.577500612</v>
      </c>
      <c r="U350" s="435">
        <f t="shared" si="102"/>
        <v>73384194.58563064</v>
      </c>
      <c r="V350" s="435">
        <f t="shared" si="102"/>
        <v>68166573.664639726</v>
      </c>
    </row>
    <row r="351" spans="3:22">
      <c r="C351" s="434" t="s">
        <v>437</v>
      </c>
      <c r="F351" s="31"/>
      <c r="I351" s="521">
        <f t="shared" si="101"/>
        <v>16926861.818276919</v>
      </c>
      <c r="J351" s="361">
        <f t="shared" si="101"/>
        <v>18355336.630277954</v>
      </c>
      <c r="K351" s="361">
        <f t="shared" si="101"/>
        <v>17996386.489836879</v>
      </c>
      <c r="L351" s="361">
        <f t="shared" si="101"/>
        <v>17189093.349442661</v>
      </c>
      <c r="M351" s="361">
        <f t="shared" si="101"/>
        <v>15488129.502649317</v>
      </c>
      <c r="N351" s="361">
        <f t="shared" si="101"/>
        <v>14457792.509270776</v>
      </c>
      <c r="O351" s="361">
        <f t="shared" si="101"/>
        <v>14656431.612068692</v>
      </c>
      <c r="P351" s="361">
        <f t="shared" si="101"/>
        <v>17775348.578321259</v>
      </c>
      <c r="Q351" s="361">
        <f t="shared" ref="Q351:V357" si="103">Q343*Q292</f>
        <v>17893564.66119146</v>
      </c>
      <c r="R351" s="361">
        <f t="shared" si="103"/>
        <v>14748734.331908107</v>
      </c>
      <c r="S351" s="361">
        <f t="shared" si="103"/>
        <v>17861764.419099998</v>
      </c>
      <c r="T351" s="361">
        <f t="shared" si="103"/>
        <v>23621765.869522244</v>
      </c>
      <c r="U351" s="435">
        <f t="shared" si="103"/>
        <v>22662765.974974167</v>
      </c>
      <c r="V351" s="435">
        <f t="shared" si="103"/>
        <v>21051441.867021091</v>
      </c>
    </row>
    <row r="352" spans="3:22">
      <c r="C352" s="434" t="s">
        <v>416</v>
      </c>
      <c r="F352" s="31"/>
      <c r="I352" s="521">
        <f t="shared" si="101"/>
        <v>0</v>
      </c>
      <c r="J352" s="361">
        <f t="shared" si="101"/>
        <v>0</v>
      </c>
      <c r="K352" s="361">
        <f t="shared" si="101"/>
        <v>0</v>
      </c>
      <c r="L352" s="361">
        <f t="shared" si="101"/>
        <v>0</v>
      </c>
      <c r="M352" s="361">
        <f t="shared" si="101"/>
        <v>0</v>
      </c>
      <c r="N352" s="361">
        <f t="shared" si="101"/>
        <v>0</v>
      </c>
      <c r="O352" s="361">
        <f t="shared" si="101"/>
        <v>0</v>
      </c>
      <c r="P352" s="361">
        <f t="shared" si="101"/>
        <v>0</v>
      </c>
      <c r="Q352" s="361">
        <f t="shared" si="103"/>
        <v>0</v>
      </c>
      <c r="R352" s="361">
        <f t="shared" si="103"/>
        <v>0</v>
      </c>
      <c r="S352" s="361">
        <f t="shared" si="103"/>
        <v>0</v>
      </c>
      <c r="T352" s="361">
        <f t="shared" si="103"/>
        <v>0</v>
      </c>
      <c r="U352" s="435">
        <f t="shared" si="103"/>
        <v>0</v>
      </c>
      <c r="V352" s="435">
        <f t="shared" si="103"/>
        <v>0</v>
      </c>
    </row>
    <row r="353" spans="3:22">
      <c r="C353" s="436" t="s">
        <v>438</v>
      </c>
      <c r="F353" s="31"/>
      <c r="I353" s="521">
        <f t="shared" si="101"/>
        <v>2039283.8285828861</v>
      </c>
      <c r="J353" s="361">
        <f t="shared" si="101"/>
        <v>2211381.0321239629</v>
      </c>
      <c r="K353" s="361">
        <f t="shared" si="101"/>
        <v>2168136.0866327286</v>
      </c>
      <c r="L353" s="361">
        <f t="shared" si="101"/>
        <v>2070876.4844804727</v>
      </c>
      <c r="M353" s="361">
        <f t="shared" si="101"/>
        <v>1865950.8400810843</v>
      </c>
      <c r="N353" s="361">
        <f t="shared" si="101"/>
        <v>1741819.7642121459</v>
      </c>
      <c r="O353" s="361">
        <f t="shared" si="101"/>
        <v>1765751.0465968472</v>
      </c>
      <c r="P353" s="361">
        <f t="shared" si="101"/>
        <v>2141506.2811025139</v>
      </c>
      <c r="Q353" s="361">
        <f t="shared" si="103"/>
        <v>2155748.5044197328</v>
      </c>
      <c r="R353" s="361">
        <f t="shared" si="103"/>
        <v>1776871.326653691</v>
      </c>
      <c r="S353" s="361">
        <f t="shared" si="103"/>
        <v>2151917.3323963331</v>
      </c>
      <c r="T353" s="361">
        <f t="shared" si="103"/>
        <v>2845860.3642805368</v>
      </c>
      <c r="U353" s="435">
        <f t="shared" si="103"/>
        <v>2730323.7103183162</v>
      </c>
      <c r="V353" s="435">
        <f t="shared" si="103"/>
        <v>2536197.5201696837</v>
      </c>
    </row>
    <row r="354" spans="3:22">
      <c r="C354" s="436" t="s">
        <v>439</v>
      </c>
      <c r="F354" s="31"/>
      <c r="I354" s="521">
        <f t="shared" si="101"/>
        <v>0</v>
      </c>
      <c r="J354" s="361">
        <f t="shared" si="101"/>
        <v>0</v>
      </c>
      <c r="K354" s="361">
        <f t="shared" si="101"/>
        <v>0</v>
      </c>
      <c r="L354" s="361">
        <f t="shared" si="101"/>
        <v>0</v>
      </c>
      <c r="M354" s="361">
        <f t="shared" si="101"/>
        <v>0</v>
      </c>
      <c r="N354" s="361">
        <f t="shared" si="101"/>
        <v>0</v>
      </c>
      <c r="O354" s="361">
        <f t="shared" si="101"/>
        <v>0</v>
      </c>
      <c r="P354" s="361">
        <f t="shared" si="101"/>
        <v>0</v>
      </c>
      <c r="Q354" s="361">
        <f t="shared" si="103"/>
        <v>0</v>
      </c>
      <c r="R354" s="361">
        <f t="shared" si="103"/>
        <v>0</v>
      </c>
      <c r="S354" s="361">
        <f t="shared" si="103"/>
        <v>0</v>
      </c>
      <c r="T354" s="361">
        <f t="shared" si="103"/>
        <v>0</v>
      </c>
      <c r="U354" s="435">
        <f t="shared" si="103"/>
        <v>0</v>
      </c>
      <c r="V354" s="435">
        <f t="shared" si="103"/>
        <v>0</v>
      </c>
    </row>
    <row r="355" spans="3:22">
      <c r="C355" s="436" t="s">
        <v>440</v>
      </c>
      <c r="F355" s="31"/>
      <c r="I355" s="521">
        <f t="shared" si="101"/>
        <v>975309.65714833688</v>
      </c>
      <c r="J355" s="361">
        <f t="shared" si="101"/>
        <v>1057617.0153636343</v>
      </c>
      <c r="K355" s="361">
        <f t="shared" si="101"/>
        <v>1036934.6501286963</v>
      </c>
      <c r="L355" s="361">
        <f t="shared" si="101"/>
        <v>990419.18822979135</v>
      </c>
      <c r="M355" s="361">
        <f t="shared" si="101"/>
        <v>892411.27134312724</v>
      </c>
      <c r="N355" s="361">
        <f t="shared" si="101"/>
        <v>833044.23505798285</v>
      </c>
      <c r="O355" s="361">
        <f t="shared" si="101"/>
        <v>844489.63098110084</v>
      </c>
      <c r="P355" s="361">
        <f t="shared" si="101"/>
        <v>1024198.656179463</v>
      </c>
      <c r="Q355" s="361">
        <f t="shared" si="103"/>
        <v>1031010.1542876983</v>
      </c>
      <c r="R355" s="361">
        <f t="shared" si="103"/>
        <v>849808.02579089568</v>
      </c>
      <c r="S355" s="361">
        <f t="shared" si="103"/>
        <v>1029177.8546243332</v>
      </c>
      <c r="T355" s="361">
        <f t="shared" si="103"/>
        <v>1361063.652481996</v>
      </c>
      <c r="U355" s="435">
        <f t="shared" si="103"/>
        <v>1305806.9918913688</v>
      </c>
      <c r="V355" s="435">
        <f t="shared" si="103"/>
        <v>1212964.0313855009</v>
      </c>
    </row>
    <row r="356" spans="3:22">
      <c r="C356" s="436" t="s">
        <v>441</v>
      </c>
      <c r="F356" s="31"/>
      <c r="I356" s="521">
        <f t="shared" si="101"/>
        <v>0</v>
      </c>
      <c r="J356" s="361">
        <f t="shared" si="101"/>
        <v>0</v>
      </c>
      <c r="K356" s="361">
        <f t="shared" si="101"/>
        <v>0</v>
      </c>
      <c r="L356" s="361">
        <f t="shared" si="101"/>
        <v>0</v>
      </c>
      <c r="M356" s="361">
        <f t="shared" si="101"/>
        <v>0</v>
      </c>
      <c r="N356" s="361">
        <f t="shared" si="101"/>
        <v>0</v>
      </c>
      <c r="O356" s="361">
        <f t="shared" si="101"/>
        <v>0</v>
      </c>
      <c r="P356" s="361">
        <f t="shared" si="101"/>
        <v>0</v>
      </c>
      <c r="Q356" s="361">
        <f t="shared" si="103"/>
        <v>0</v>
      </c>
      <c r="R356" s="361">
        <f t="shared" si="103"/>
        <v>0</v>
      </c>
      <c r="S356" s="361">
        <f t="shared" si="103"/>
        <v>0</v>
      </c>
      <c r="T356" s="361">
        <f t="shared" si="103"/>
        <v>0</v>
      </c>
      <c r="U356" s="435">
        <f t="shared" si="103"/>
        <v>0</v>
      </c>
      <c r="V356" s="435">
        <f t="shared" si="103"/>
        <v>0</v>
      </c>
    </row>
    <row r="357" spans="3:22">
      <c r="C357" s="436" t="s">
        <v>442</v>
      </c>
      <c r="F357" s="31"/>
      <c r="I357" s="521">
        <f t="shared" si="101"/>
        <v>443322.57143106224</v>
      </c>
      <c r="J357" s="361">
        <f t="shared" si="101"/>
        <v>480735.00698347023</v>
      </c>
      <c r="K357" s="361">
        <f t="shared" si="101"/>
        <v>471333.93187668017</v>
      </c>
      <c r="L357" s="361">
        <f t="shared" si="101"/>
        <v>450190.54010445066</v>
      </c>
      <c r="M357" s="361">
        <f t="shared" si="101"/>
        <v>405641.48697414878</v>
      </c>
      <c r="N357" s="361">
        <f t="shared" si="101"/>
        <v>378656.47048090131</v>
      </c>
      <c r="O357" s="361">
        <f t="shared" si="101"/>
        <v>383858.9231732277</v>
      </c>
      <c r="P357" s="361">
        <f t="shared" si="101"/>
        <v>465544.84371793782</v>
      </c>
      <c r="Q357" s="361">
        <f t="shared" si="103"/>
        <v>468640.97922168113</v>
      </c>
      <c r="R357" s="361">
        <f t="shared" si="103"/>
        <v>386276.37535949808</v>
      </c>
      <c r="S357" s="361">
        <f t="shared" si="103"/>
        <v>467808.11573833332</v>
      </c>
      <c r="T357" s="361">
        <f t="shared" si="103"/>
        <v>618665.29658272548</v>
      </c>
      <c r="U357" s="435">
        <f t="shared" si="103"/>
        <v>593548.6326778949</v>
      </c>
      <c r="V357" s="435">
        <f t="shared" si="103"/>
        <v>551347.28699340962</v>
      </c>
    </row>
    <row r="358" spans="3:22">
      <c r="C358" s="436" t="s">
        <v>241</v>
      </c>
      <c r="F358" s="31"/>
      <c r="I358" s="521">
        <f t="shared" ref="I358:P358" si="104">SUM(I350:I357)</f>
        <v>75195568.525097802</v>
      </c>
      <c r="J358" s="361">
        <f t="shared" si="104"/>
        <v>81541397.820887178</v>
      </c>
      <c r="K358" s="361">
        <f t="shared" si="104"/>
        <v>79946804.554137245</v>
      </c>
      <c r="L358" s="361">
        <f t="shared" si="104"/>
        <v>76360500.884262174</v>
      </c>
      <c r="M358" s="361">
        <f t="shared" si="104"/>
        <v>68804171.4905788</v>
      </c>
      <c r="N358" s="361">
        <f t="shared" si="104"/>
        <v>64227022.056660518</v>
      </c>
      <c r="O358" s="361">
        <f t="shared" si="104"/>
        <v>65109452.623328023</v>
      </c>
      <c r="P358" s="361">
        <f t="shared" si="104"/>
        <v>78964869.946266189</v>
      </c>
      <c r="Q358" s="361">
        <f t="shared" ref="Q358:V358" si="105">SUM(Q350:Q357)</f>
        <v>79490030.821073875</v>
      </c>
      <c r="R358" s="361">
        <f t="shared" si="105"/>
        <v>65519496.467795581</v>
      </c>
      <c r="S358" s="361">
        <f t="shared" si="105"/>
        <v>79348762.031325653</v>
      </c>
      <c r="T358" s="361">
        <f t="shared" si="105"/>
        <v>104936882.76036812</v>
      </c>
      <c r="U358" s="435">
        <f t="shared" si="105"/>
        <v>100676639.89549239</v>
      </c>
      <c r="V358" s="435">
        <f t="shared" si="105"/>
        <v>93518524.370209426</v>
      </c>
    </row>
    <row r="359" spans="3:22">
      <c r="C359" s="388" t="s">
        <v>325</v>
      </c>
      <c r="D359" s="467"/>
      <c r="E359" s="467"/>
      <c r="F359" s="515"/>
      <c r="I359" s="522"/>
      <c r="J359" s="468"/>
      <c r="K359" s="468"/>
      <c r="L359" s="468"/>
      <c r="M359" s="468"/>
      <c r="N359" s="468"/>
      <c r="O359" s="468"/>
      <c r="P359" s="468"/>
      <c r="Q359" s="468"/>
      <c r="R359" s="468"/>
      <c r="S359" s="468"/>
      <c r="T359" s="468"/>
      <c r="U359" s="314"/>
      <c r="V359" s="314"/>
    </row>
    <row r="360" spans="3:22">
      <c r="C360" s="437" t="s">
        <v>343</v>
      </c>
      <c r="F360" s="31"/>
      <c r="I360" s="523">
        <f t="shared" ref="I360:V360" si="106">I68</f>
        <v>120562668.38846363</v>
      </c>
      <c r="J360" s="323">
        <f t="shared" si="106"/>
        <v>135673682.09690931</v>
      </c>
      <c r="K360" s="323">
        <f t="shared" si="106"/>
        <v>136694283.6278387</v>
      </c>
      <c r="L360" s="323">
        <f t="shared" si="106"/>
        <v>122291471.80973436</v>
      </c>
      <c r="M360" s="323">
        <f t="shared" si="106"/>
        <v>106715017.52753429</v>
      </c>
      <c r="N360" s="323">
        <f t="shared" si="106"/>
        <v>96817421.409659445</v>
      </c>
      <c r="O360" s="323">
        <f t="shared" si="106"/>
        <v>106208133.1047865</v>
      </c>
      <c r="P360" s="323">
        <f t="shared" si="106"/>
        <v>118612766.75267123</v>
      </c>
      <c r="Q360" s="323">
        <f t="shared" si="106"/>
        <v>115949877.90776323</v>
      </c>
      <c r="R360" s="323">
        <f t="shared" si="106"/>
        <v>87209440.873825863</v>
      </c>
      <c r="S360" s="323">
        <f t="shared" si="106"/>
        <v>114274713.98102029</v>
      </c>
      <c r="T360" s="323">
        <f t="shared" si="106"/>
        <v>147695940.25374511</v>
      </c>
      <c r="U360" s="433">
        <f t="shared" si="106"/>
        <v>142790267.77348921</v>
      </c>
      <c r="V360" s="433">
        <f t="shared" si="106"/>
        <v>140701469.22059017</v>
      </c>
    </row>
    <row r="361" spans="3:22">
      <c r="C361" s="71" t="s">
        <v>436</v>
      </c>
      <c r="F361" s="31"/>
      <c r="I361" s="506">
        <f t="shared" ref="I361:P368" si="107">I$360*$D291</f>
        <v>81982614.504155278</v>
      </c>
      <c r="J361" s="312">
        <f t="shared" si="107"/>
        <v>92258103.825898334</v>
      </c>
      <c r="K361" s="312">
        <f t="shared" si="107"/>
        <v>92952112.866930321</v>
      </c>
      <c r="L361" s="312">
        <f t="shared" si="107"/>
        <v>83158200.830619365</v>
      </c>
      <c r="M361" s="312">
        <f t="shared" si="107"/>
        <v>72566211.91872333</v>
      </c>
      <c r="N361" s="312">
        <f t="shared" si="107"/>
        <v>65835846.558568425</v>
      </c>
      <c r="O361" s="312">
        <f t="shared" si="107"/>
        <v>72221530.511254832</v>
      </c>
      <c r="P361" s="312">
        <f t="shared" si="107"/>
        <v>80656681.391816437</v>
      </c>
      <c r="Q361" s="312">
        <f t="shared" ref="Q361:R368" si="108">Q$360*$D291</f>
        <v>78845916.977279007</v>
      </c>
      <c r="R361" s="312">
        <f t="shared" si="108"/>
        <v>59302419.79420159</v>
      </c>
      <c r="S361" s="312">
        <f>S$360*$D291</f>
        <v>77706805.507093802</v>
      </c>
      <c r="T361" s="312">
        <f>T$360*$D291</f>
        <v>100433239.37254669</v>
      </c>
      <c r="U361" s="313">
        <f>U$360*$D291</f>
        <v>97097382.085972667</v>
      </c>
      <c r="V361" s="313">
        <f>V$360*$D291</f>
        <v>95676999.070001319</v>
      </c>
    </row>
    <row r="362" spans="3:22">
      <c r="C362" s="71" t="s">
        <v>437</v>
      </c>
      <c r="F362" s="31"/>
      <c r="I362" s="506">
        <f t="shared" si="107"/>
        <v>25318160.361577362</v>
      </c>
      <c r="J362" s="312">
        <f t="shared" si="107"/>
        <v>28491473.240350954</v>
      </c>
      <c r="K362" s="312">
        <f t="shared" si="107"/>
        <v>28705799.561846126</v>
      </c>
      <c r="L362" s="312">
        <f t="shared" si="107"/>
        <v>25681209.080044214</v>
      </c>
      <c r="M362" s="312">
        <f t="shared" si="107"/>
        <v>22410153.680782199</v>
      </c>
      <c r="N362" s="312">
        <f t="shared" si="107"/>
        <v>20331658.496028483</v>
      </c>
      <c r="O362" s="312">
        <f t="shared" si="107"/>
        <v>22303707.952005163</v>
      </c>
      <c r="P362" s="312">
        <f t="shared" si="107"/>
        <v>24908681.018060956</v>
      </c>
      <c r="Q362" s="312">
        <f t="shared" si="108"/>
        <v>24349474.360630278</v>
      </c>
      <c r="R362" s="312">
        <f t="shared" si="108"/>
        <v>18313982.583503429</v>
      </c>
      <c r="S362" s="312">
        <f t="shared" ref="S362:V368" si="109">S$360*$D292</f>
        <v>23997689.936014261</v>
      </c>
      <c r="T362" s="312">
        <f t="shared" si="109"/>
        <v>31016147.453286473</v>
      </c>
      <c r="U362" s="313">
        <f t="shared" si="109"/>
        <v>29985956.232432734</v>
      </c>
      <c r="V362" s="313">
        <f t="shared" si="109"/>
        <v>29547308.536323935</v>
      </c>
    </row>
    <row r="363" spans="3:22">
      <c r="C363" s="71" t="s">
        <v>416</v>
      </c>
      <c r="F363" s="31"/>
      <c r="I363" s="506">
        <f t="shared" si="107"/>
        <v>13261893.522730999</v>
      </c>
      <c r="J363" s="312">
        <f t="shared" si="107"/>
        <v>14924105.030660024</v>
      </c>
      <c r="K363" s="312">
        <f t="shared" si="107"/>
        <v>15036371.199062258</v>
      </c>
      <c r="L363" s="312">
        <f t="shared" si="107"/>
        <v>13452061.899070779</v>
      </c>
      <c r="M363" s="312">
        <f t="shared" si="107"/>
        <v>11738651.928028772</v>
      </c>
      <c r="N363" s="312">
        <f t="shared" si="107"/>
        <v>10649916.355062539</v>
      </c>
      <c r="O363" s="312">
        <f t="shared" si="107"/>
        <v>11682894.641526515</v>
      </c>
      <c r="P363" s="312">
        <f t="shared" si="107"/>
        <v>13047404.342793835</v>
      </c>
      <c r="Q363" s="312">
        <f t="shared" si="108"/>
        <v>12754486.569853956</v>
      </c>
      <c r="R363" s="312">
        <f t="shared" si="108"/>
        <v>9593038.4961208459</v>
      </c>
      <c r="S363" s="312">
        <f t="shared" si="109"/>
        <v>12570218.537912231</v>
      </c>
      <c r="T363" s="312">
        <f t="shared" si="109"/>
        <v>16246553.427911961</v>
      </c>
      <c r="U363" s="313">
        <f t="shared" si="109"/>
        <v>15706929.455083814</v>
      </c>
      <c r="V363" s="313">
        <f t="shared" si="109"/>
        <v>15477161.614264918</v>
      </c>
    </row>
    <row r="364" spans="3:22">
      <c r="C364" s="363" t="s">
        <v>438</v>
      </c>
      <c r="F364" s="31"/>
      <c r="I364" s="506">
        <f t="shared" si="107"/>
        <v>3050235.51022813</v>
      </c>
      <c r="J364" s="312">
        <f t="shared" si="107"/>
        <v>3432544.1570518054</v>
      </c>
      <c r="K364" s="312">
        <f t="shared" si="107"/>
        <v>3458365.3757843189</v>
      </c>
      <c r="L364" s="312">
        <f t="shared" si="107"/>
        <v>3093974.2367862794</v>
      </c>
      <c r="M364" s="312">
        <f t="shared" si="107"/>
        <v>2699889.9434466176</v>
      </c>
      <c r="N364" s="312">
        <f t="shared" si="107"/>
        <v>2449480.761664384</v>
      </c>
      <c r="O364" s="312">
        <f t="shared" si="107"/>
        <v>2687065.7675510985</v>
      </c>
      <c r="P364" s="312">
        <f t="shared" si="107"/>
        <v>3000902.9988425821</v>
      </c>
      <c r="Q364" s="312">
        <f t="shared" si="108"/>
        <v>2933531.9110664097</v>
      </c>
      <c r="R364" s="312">
        <f t="shared" si="108"/>
        <v>2206398.8541077944</v>
      </c>
      <c r="S364" s="312">
        <f t="shared" si="109"/>
        <v>2891150.2637198134</v>
      </c>
      <c r="T364" s="312">
        <f t="shared" si="109"/>
        <v>3736707.288419751</v>
      </c>
      <c r="U364" s="313">
        <f t="shared" si="109"/>
        <v>3612593.774669277</v>
      </c>
      <c r="V364" s="313">
        <f t="shared" si="109"/>
        <v>3559747.1712809312</v>
      </c>
    </row>
    <row r="365" spans="3:22">
      <c r="C365" s="363" t="s">
        <v>439</v>
      </c>
      <c r="F365" s="31"/>
      <c r="I365" s="506">
        <f t="shared" si="107"/>
        <v>7028803.5670474302</v>
      </c>
      <c r="J365" s="312">
        <f t="shared" si="107"/>
        <v>7909775.6662498135</v>
      </c>
      <c r="K365" s="312">
        <f t="shared" si="107"/>
        <v>7969276.7355029965</v>
      </c>
      <c r="L365" s="312">
        <f t="shared" si="107"/>
        <v>7129592.8065075139</v>
      </c>
      <c r="M365" s="312">
        <f t="shared" si="107"/>
        <v>6221485.52185525</v>
      </c>
      <c r="N365" s="312">
        <f t="shared" si="107"/>
        <v>5644455.668183146</v>
      </c>
      <c r="O365" s="312">
        <f t="shared" si="107"/>
        <v>6191934.1600090535</v>
      </c>
      <c r="P365" s="312">
        <f t="shared" si="107"/>
        <v>6915124.3016807334</v>
      </c>
      <c r="Q365" s="312">
        <f t="shared" si="108"/>
        <v>6759877.8820225969</v>
      </c>
      <c r="R365" s="312">
        <f t="shared" si="108"/>
        <v>5084310.4029440479</v>
      </c>
      <c r="S365" s="312">
        <f t="shared" si="109"/>
        <v>6662215.8250934836</v>
      </c>
      <c r="T365" s="312">
        <f t="shared" si="109"/>
        <v>8610673.3167933412</v>
      </c>
      <c r="U365" s="313">
        <f t="shared" si="109"/>
        <v>8324672.6111944215</v>
      </c>
      <c r="V365" s="313">
        <f t="shared" si="109"/>
        <v>8202895.6555604078</v>
      </c>
    </row>
    <row r="366" spans="3:22">
      <c r="C366" s="363" t="s">
        <v>440</v>
      </c>
      <c r="F366" s="31"/>
      <c r="I366" s="506">
        <f t="shared" si="107"/>
        <v>1458808.2875004099</v>
      </c>
      <c r="J366" s="312">
        <f t="shared" si="107"/>
        <v>1641651.5533726027</v>
      </c>
      <c r="K366" s="312">
        <f t="shared" si="107"/>
        <v>1654000.8318968483</v>
      </c>
      <c r="L366" s="312">
        <f t="shared" si="107"/>
        <v>1479726.8088977856</v>
      </c>
      <c r="M366" s="312">
        <f t="shared" si="107"/>
        <v>1291251.7120831648</v>
      </c>
      <c r="N366" s="312">
        <f t="shared" si="107"/>
        <v>1171490.7990568792</v>
      </c>
      <c r="O366" s="312">
        <f t="shared" si="107"/>
        <v>1285118.4105679167</v>
      </c>
      <c r="P366" s="312">
        <f t="shared" si="107"/>
        <v>1435214.4777073218</v>
      </c>
      <c r="Q366" s="312">
        <f t="shared" si="108"/>
        <v>1402993.522683935</v>
      </c>
      <c r="R366" s="312">
        <f t="shared" si="108"/>
        <v>1055234.234573293</v>
      </c>
      <c r="S366" s="312">
        <f t="shared" si="109"/>
        <v>1382724.0391703455</v>
      </c>
      <c r="T366" s="312">
        <f t="shared" si="109"/>
        <v>1787120.8770703159</v>
      </c>
      <c r="U366" s="313">
        <f t="shared" si="109"/>
        <v>1727762.2400592193</v>
      </c>
      <c r="V366" s="313">
        <f t="shared" si="109"/>
        <v>1702487.777569141</v>
      </c>
    </row>
    <row r="367" spans="3:22" ht="15.65" customHeight="1">
      <c r="C367" s="363" t="s">
        <v>441</v>
      </c>
      <c r="F367" s="31"/>
      <c r="I367" s="506">
        <f t="shared" si="107"/>
        <v>928332.54659117013</v>
      </c>
      <c r="J367" s="312">
        <f t="shared" si="107"/>
        <v>1044687.3521462019</v>
      </c>
      <c r="K367" s="312">
        <f t="shared" si="107"/>
        <v>1052545.9839343582</v>
      </c>
      <c r="L367" s="312">
        <f t="shared" si="107"/>
        <v>941644.33293495467</v>
      </c>
      <c r="M367" s="312">
        <f t="shared" si="107"/>
        <v>821705.63496201416</v>
      </c>
      <c r="N367" s="312">
        <f t="shared" si="107"/>
        <v>745494.14485437784</v>
      </c>
      <c r="O367" s="312">
        <f t="shared" si="107"/>
        <v>817802.62490685622</v>
      </c>
      <c r="P367" s="312">
        <f t="shared" si="107"/>
        <v>913318.30399556854</v>
      </c>
      <c r="Q367" s="312">
        <f t="shared" si="108"/>
        <v>892814.05988977698</v>
      </c>
      <c r="R367" s="312">
        <f t="shared" si="108"/>
        <v>671512.69472845923</v>
      </c>
      <c r="S367" s="312">
        <f t="shared" si="109"/>
        <v>879915.29765385634</v>
      </c>
      <c r="T367" s="312">
        <f t="shared" si="109"/>
        <v>1137258.7399538376</v>
      </c>
      <c r="U367" s="313">
        <f t="shared" si="109"/>
        <v>1099485.061855867</v>
      </c>
      <c r="V367" s="313">
        <f t="shared" si="109"/>
        <v>1083401.3129985444</v>
      </c>
    </row>
    <row r="368" spans="3:22">
      <c r="C368" s="363" t="s">
        <v>442</v>
      </c>
      <c r="F368" s="31"/>
      <c r="I368" s="506">
        <f t="shared" si="107"/>
        <v>663094.67613655003</v>
      </c>
      <c r="J368" s="312">
        <f t="shared" si="107"/>
        <v>746205.25153300131</v>
      </c>
      <c r="K368" s="312">
        <f t="shared" si="107"/>
        <v>751818.55995311297</v>
      </c>
      <c r="L368" s="312">
        <f t="shared" si="107"/>
        <v>672603.09495353908</v>
      </c>
      <c r="M368" s="312">
        <f t="shared" si="107"/>
        <v>586932.5964014387</v>
      </c>
      <c r="N368" s="312">
        <f t="shared" si="107"/>
        <v>532495.81775312696</v>
      </c>
      <c r="O368" s="312">
        <f t="shared" si="107"/>
        <v>584144.7320763258</v>
      </c>
      <c r="P368" s="312">
        <f t="shared" si="107"/>
        <v>652370.21713969181</v>
      </c>
      <c r="Q368" s="312">
        <f t="shared" si="108"/>
        <v>637724.32849269779</v>
      </c>
      <c r="R368" s="312">
        <f t="shared" si="108"/>
        <v>479651.92480604228</v>
      </c>
      <c r="S368" s="312">
        <f t="shared" si="109"/>
        <v>628510.92689561169</v>
      </c>
      <c r="T368" s="312">
        <f t="shared" si="109"/>
        <v>812327.67139559821</v>
      </c>
      <c r="U368" s="313">
        <f t="shared" si="109"/>
        <v>785346.47275419068</v>
      </c>
      <c r="V368" s="313">
        <f t="shared" si="109"/>
        <v>773858.08071324602</v>
      </c>
    </row>
    <row r="369" spans="3:22">
      <c r="C369" s="434" t="s">
        <v>436</v>
      </c>
      <c r="F369" s="31"/>
      <c r="I369" s="521">
        <f t="shared" ref="I369:P376" si="110">I361*I291</f>
        <v>81982614.504155278</v>
      </c>
      <c r="J369" s="361">
        <f t="shared" si="110"/>
        <v>92258103.825898334</v>
      </c>
      <c r="K369" s="361">
        <f t="shared" si="110"/>
        <v>92952112.866930321</v>
      </c>
      <c r="L369" s="361">
        <f t="shared" si="110"/>
        <v>83158200.830619365</v>
      </c>
      <c r="M369" s="361">
        <f t="shared" si="110"/>
        <v>72566211.91872333</v>
      </c>
      <c r="N369" s="361">
        <f t="shared" si="110"/>
        <v>65835846.558568425</v>
      </c>
      <c r="O369" s="361">
        <f t="shared" si="110"/>
        <v>72221530.511254832</v>
      </c>
      <c r="P369" s="361">
        <f t="shared" si="110"/>
        <v>80656681.391816437</v>
      </c>
      <c r="Q369" s="361">
        <f t="shared" ref="Q369:V369" si="111">Q361*Q291</f>
        <v>78845916.977279007</v>
      </c>
      <c r="R369" s="361">
        <f t="shared" si="111"/>
        <v>59302419.79420159</v>
      </c>
      <c r="S369" s="361">
        <f t="shared" si="111"/>
        <v>77706805.507093802</v>
      </c>
      <c r="T369" s="361">
        <f t="shared" si="111"/>
        <v>100433239.37254669</v>
      </c>
      <c r="U369" s="435">
        <f t="shared" si="111"/>
        <v>97097382.085972667</v>
      </c>
      <c r="V369" s="435">
        <f t="shared" si="111"/>
        <v>95676999.070001319</v>
      </c>
    </row>
    <row r="370" spans="3:22">
      <c r="C370" s="434" t="s">
        <v>437</v>
      </c>
      <c r="F370" s="31"/>
      <c r="I370" s="521">
        <f t="shared" si="110"/>
        <v>25318160.361577362</v>
      </c>
      <c r="J370" s="361">
        <f t="shared" si="110"/>
        <v>28491473.240350954</v>
      </c>
      <c r="K370" s="361">
        <f t="shared" si="110"/>
        <v>28705799.561846126</v>
      </c>
      <c r="L370" s="361">
        <f t="shared" si="110"/>
        <v>25681209.080044214</v>
      </c>
      <c r="M370" s="361">
        <f t="shared" si="110"/>
        <v>22410153.680782199</v>
      </c>
      <c r="N370" s="361">
        <f t="shared" si="110"/>
        <v>20331658.496028483</v>
      </c>
      <c r="O370" s="361">
        <f t="shared" si="110"/>
        <v>22303707.952005163</v>
      </c>
      <c r="P370" s="361">
        <f t="shared" si="110"/>
        <v>24908681.018060956</v>
      </c>
      <c r="Q370" s="361">
        <f t="shared" ref="Q370:V376" si="112">Q362*Q292</f>
        <v>24349474.360630278</v>
      </c>
      <c r="R370" s="361">
        <f t="shared" si="112"/>
        <v>18313982.583503429</v>
      </c>
      <c r="S370" s="361">
        <f t="shared" si="112"/>
        <v>23997689.936014261</v>
      </c>
      <c r="T370" s="361">
        <f t="shared" si="112"/>
        <v>31016147.453286473</v>
      </c>
      <c r="U370" s="435">
        <f t="shared" si="112"/>
        <v>29985956.232432734</v>
      </c>
      <c r="V370" s="435">
        <f t="shared" si="112"/>
        <v>29547308.536323935</v>
      </c>
    </row>
    <row r="371" spans="3:22">
      <c r="C371" s="434" t="s">
        <v>416</v>
      </c>
      <c r="F371" s="31"/>
      <c r="I371" s="521">
        <f t="shared" si="110"/>
        <v>0</v>
      </c>
      <c r="J371" s="361">
        <f t="shared" si="110"/>
        <v>0</v>
      </c>
      <c r="K371" s="361">
        <f t="shared" si="110"/>
        <v>0</v>
      </c>
      <c r="L371" s="361">
        <f t="shared" si="110"/>
        <v>0</v>
      </c>
      <c r="M371" s="361">
        <f t="shared" si="110"/>
        <v>0</v>
      </c>
      <c r="N371" s="361">
        <f t="shared" si="110"/>
        <v>0</v>
      </c>
      <c r="O371" s="361">
        <f t="shared" si="110"/>
        <v>0</v>
      </c>
      <c r="P371" s="361">
        <f t="shared" si="110"/>
        <v>0</v>
      </c>
      <c r="Q371" s="361">
        <f t="shared" si="112"/>
        <v>0</v>
      </c>
      <c r="R371" s="361">
        <f t="shared" si="112"/>
        <v>0</v>
      </c>
      <c r="S371" s="361">
        <f t="shared" si="112"/>
        <v>0</v>
      </c>
      <c r="T371" s="361">
        <f t="shared" si="112"/>
        <v>0</v>
      </c>
      <c r="U371" s="435">
        <f t="shared" si="112"/>
        <v>0</v>
      </c>
      <c r="V371" s="435">
        <f t="shared" si="112"/>
        <v>0</v>
      </c>
    </row>
    <row r="372" spans="3:22">
      <c r="C372" s="436" t="s">
        <v>438</v>
      </c>
      <c r="F372" s="31"/>
      <c r="I372" s="521">
        <f t="shared" si="110"/>
        <v>3050235.51022813</v>
      </c>
      <c r="J372" s="361">
        <f t="shared" si="110"/>
        <v>3432544.1570518054</v>
      </c>
      <c r="K372" s="361">
        <f t="shared" si="110"/>
        <v>3458365.3757843189</v>
      </c>
      <c r="L372" s="361">
        <f t="shared" si="110"/>
        <v>3093974.2367862794</v>
      </c>
      <c r="M372" s="361">
        <f t="shared" si="110"/>
        <v>2699889.9434466176</v>
      </c>
      <c r="N372" s="361">
        <f t="shared" si="110"/>
        <v>2449480.761664384</v>
      </c>
      <c r="O372" s="361">
        <f t="shared" si="110"/>
        <v>2687065.7675510985</v>
      </c>
      <c r="P372" s="361">
        <f t="shared" si="110"/>
        <v>3000902.9988425821</v>
      </c>
      <c r="Q372" s="361">
        <f t="shared" si="112"/>
        <v>2933531.9110664097</v>
      </c>
      <c r="R372" s="361">
        <f t="shared" si="112"/>
        <v>2206398.8541077944</v>
      </c>
      <c r="S372" s="361">
        <f t="shared" si="112"/>
        <v>2891150.2637198134</v>
      </c>
      <c r="T372" s="361">
        <f t="shared" si="112"/>
        <v>3736707.288419751</v>
      </c>
      <c r="U372" s="435">
        <f t="shared" si="112"/>
        <v>3612593.774669277</v>
      </c>
      <c r="V372" s="435">
        <f t="shared" si="112"/>
        <v>3559747.1712809312</v>
      </c>
    </row>
    <row r="373" spans="3:22">
      <c r="C373" s="436" t="s">
        <v>439</v>
      </c>
      <c r="F373" s="31"/>
      <c r="I373" s="521">
        <f t="shared" si="110"/>
        <v>0</v>
      </c>
      <c r="J373" s="361">
        <f t="shared" si="110"/>
        <v>0</v>
      </c>
      <c r="K373" s="361">
        <f t="shared" si="110"/>
        <v>0</v>
      </c>
      <c r="L373" s="361">
        <f t="shared" si="110"/>
        <v>0</v>
      </c>
      <c r="M373" s="361">
        <f t="shared" si="110"/>
        <v>0</v>
      </c>
      <c r="N373" s="361">
        <f t="shared" si="110"/>
        <v>0</v>
      </c>
      <c r="O373" s="361">
        <f t="shared" si="110"/>
        <v>0</v>
      </c>
      <c r="P373" s="361">
        <f t="shared" si="110"/>
        <v>0</v>
      </c>
      <c r="Q373" s="361">
        <f t="shared" si="112"/>
        <v>0</v>
      </c>
      <c r="R373" s="361">
        <f t="shared" si="112"/>
        <v>0</v>
      </c>
      <c r="S373" s="361">
        <f t="shared" si="112"/>
        <v>0</v>
      </c>
      <c r="T373" s="361">
        <f t="shared" si="112"/>
        <v>0</v>
      </c>
      <c r="U373" s="435">
        <f t="shared" si="112"/>
        <v>0</v>
      </c>
      <c r="V373" s="435">
        <f t="shared" si="112"/>
        <v>0</v>
      </c>
    </row>
    <row r="374" spans="3:22">
      <c r="C374" s="436" t="s">
        <v>440</v>
      </c>
      <c r="F374" s="31"/>
      <c r="I374" s="521">
        <f t="shared" si="110"/>
        <v>1458808.2875004099</v>
      </c>
      <c r="J374" s="361">
        <f t="shared" si="110"/>
        <v>1641651.5533726027</v>
      </c>
      <c r="K374" s="361">
        <f t="shared" si="110"/>
        <v>1654000.8318968483</v>
      </c>
      <c r="L374" s="361">
        <f t="shared" si="110"/>
        <v>1479726.8088977856</v>
      </c>
      <c r="M374" s="361">
        <f t="shared" si="110"/>
        <v>1291251.7120831648</v>
      </c>
      <c r="N374" s="361">
        <f t="shared" si="110"/>
        <v>1171490.7990568792</v>
      </c>
      <c r="O374" s="361">
        <f t="shared" si="110"/>
        <v>1285118.4105679167</v>
      </c>
      <c r="P374" s="361">
        <f t="shared" si="110"/>
        <v>1435214.4777073218</v>
      </c>
      <c r="Q374" s="361">
        <f t="shared" si="112"/>
        <v>1402993.522683935</v>
      </c>
      <c r="R374" s="361">
        <f t="shared" si="112"/>
        <v>1055234.234573293</v>
      </c>
      <c r="S374" s="361">
        <f t="shared" si="112"/>
        <v>1382724.0391703455</v>
      </c>
      <c r="T374" s="361">
        <f t="shared" si="112"/>
        <v>1787120.8770703159</v>
      </c>
      <c r="U374" s="435">
        <f t="shared" si="112"/>
        <v>1727762.2400592193</v>
      </c>
      <c r="V374" s="435">
        <f t="shared" si="112"/>
        <v>1702487.777569141</v>
      </c>
    </row>
    <row r="375" spans="3:22">
      <c r="C375" s="436" t="s">
        <v>441</v>
      </c>
      <c r="F375" s="31"/>
      <c r="I375" s="521">
        <f t="shared" si="110"/>
        <v>0</v>
      </c>
      <c r="J375" s="361">
        <f t="shared" si="110"/>
        <v>0</v>
      </c>
      <c r="K375" s="361">
        <f t="shared" si="110"/>
        <v>0</v>
      </c>
      <c r="L375" s="361">
        <f t="shared" si="110"/>
        <v>0</v>
      </c>
      <c r="M375" s="361">
        <f t="shared" si="110"/>
        <v>0</v>
      </c>
      <c r="N375" s="361">
        <f t="shared" si="110"/>
        <v>0</v>
      </c>
      <c r="O375" s="361">
        <f t="shared" si="110"/>
        <v>0</v>
      </c>
      <c r="P375" s="361">
        <f t="shared" si="110"/>
        <v>0</v>
      </c>
      <c r="Q375" s="361">
        <f t="shared" si="112"/>
        <v>0</v>
      </c>
      <c r="R375" s="361">
        <f t="shared" si="112"/>
        <v>0</v>
      </c>
      <c r="S375" s="361">
        <f t="shared" si="112"/>
        <v>0</v>
      </c>
      <c r="T375" s="361">
        <f t="shared" si="112"/>
        <v>0</v>
      </c>
      <c r="U375" s="435">
        <f t="shared" si="112"/>
        <v>0</v>
      </c>
      <c r="V375" s="435">
        <f t="shared" si="112"/>
        <v>0</v>
      </c>
    </row>
    <row r="376" spans="3:22">
      <c r="C376" s="436" t="s">
        <v>442</v>
      </c>
      <c r="F376" s="31"/>
      <c r="I376" s="521">
        <f t="shared" si="110"/>
        <v>663094.67613655003</v>
      </c>
      <c r="J376" s="361">
        <f t="shared" si="110"/>
        <v>746205.25153300131</v>
      </c>
      <c r="K376" s="361">
        <f t="shared" si="110"/>
        <v>751818.55995311297</v>
      </c>
      <c r="L376" s="361">
        <f t="shared" si="110"/>
        <v>672603.09495353908</v>
      </c>
      <c r="M376" s="361">
        <f t="shared" si="110"/>
        <v>586932.5964014387</v>
      </c>
      <c r="N376" s="361">
        <f t="shared" si="110"/>
        <v>532495.81775312696</v>
      </c>
      <c r="O376" s="361">
        <f t="shared" si="110"/>
        <v>584144.7320763258</v>
      </c>
      <c r="P376" s="361">
        <f t="shared" si="110"/>
        <v>652370.21713969181</v>
      </c>
      <c r="Q376" s="361">
        <f t="shared" si="112"/>
        <v>637724.32849269779</v>
      </c>
      <c r="R376" s="361">
        <f t="shared" si="112"/>
        <v>479651.92480604228</v>
      </c>
      <c r="S376" s="361">
        <f t="shared" si="112"/>
        <v>628510.92689561169</v>
      </c>
      <c r="T376" s="361">
        <f t="shared" si="112"/>
        <v>812327.67139559821</v>
      </c>
      <c r="U376" s="435">
        <f t="shared" si="112"/>
        <v>785346.47275419068</v>
      </c>
      <c r="V376" s="435">
        <f t="shared" si="112"/>
        <v>773858.08071324602</v>
      </c>
    </row>
    <row r="377" spans="3:22">
      <c r="C377" s="436" t="s">
        <v>241</v>
      </c>
      <c r="F377" s="31"/>
      <c r="I377" s="521">
        <f t="shared" ref="I377:P377" si="113">SUM(I369:I376)</f>
        <v>112472913.33959773</v>
      </c>
      <c r="J377" s="361">
        <f t="shared" si="113"/>
        <v>126569978.02820669</v>
      </c>
      <c r="K377" s="361">
        <f t="shared" si="113"/>
        <v>127522097.19641072</v>
      </c>
      <c r="L377" s="361">
        <f t="shared" si="113"/>
        <v>114085714.05130117</v>
      </c>
      <c r="M377" s="361">
        <f t="shared" si="113"/>
        <v>99554439.851436749</v>
      </c>
      <c r="N377" s="361">
        <f t="shared" si="113"/>
        <v>90320972.433071285</v>
      </c>
      <c r="O377" s="361">
        <f t="shared" si="113"/>
        <v>99081567.373455331</v>
      </c>
      <c r="P377" s="361">
        <f t="shared" si="113"/>
        <v>110653850.10356699</v>
      </c>
      <c r="Q377" s="361">
        <f t="shared" ref="Q377:V377" si="114">SUM(Q369:Q376)</f>
        <v>108169641.10015233</v>
      </c>
      <c r="R377" s="361">
        <f t="shared" si="114"/>
        <v>81357687.391192153</v>
      </c>
      <c r="S377" s="361">
        <f t="shared" si="114"/>
        <v>106606880.67289384</v>
      </c>
      <c r="T377" s="361">
        <f t="shared" si="114"/>
        <v>137785542.6627188</v>
      </c>
      <c r="U377" s="435">
        <f t="shared" si="114"/>
        <v>133209040.8058881</v>
      </c>
      <c r="V377" s="435">
        <f t="shared" si="114"/>
        <v>131260400.63588858</v>
      </c>
    </row>
    <row r="378" spans="3:22">
      <c r="C378" s="388" t="s">
        <v>326</v>
      </c>
      <c r="D378" s="467"/>
      <c r="E378" s="467"/>
      <c r="F378" s="515"/>
      <c r="I378" s="522"/>
      <c r="J378" s="468"/>
      <c r="K378" s="468"/>
      <c r="L378" s="468"/>
      <c r="M378" s="468"/>
      <c r="N378" s="468"/>
      <c r="O378" s="468"/>
      <c r="P378" s="468"/>
      <c r="Q378" s="468"/>
      <c r="R378" s="468"/>
      <c r="S378" s="468"/>
      <c r="T378" s="468"/>
      <c r="U378" s="314"/>
      <c r="V378" s="314"/>
    </row>
    <row r="379" spans="3:22">
      <c r="C379" s="437" t="s">
        <v>343</v>
      </c>
      <c r="F379" s="31"/>
      <c r="I379" s="523">
        <f t="shared" ref="I379:V379" si="115">I77</f>
        <v>5935638.3399999999</v>
      </c>
      <c r="J379" s="323">
        <f t="shared" si="115"/>
        <v>6130403.3700000001</v>
      </c>
      <c r="K379" s="323">
        <f t="shared" si="115"/>
        <v>6176835.080000001</v>
      </c>
      <c r="L379" s="323">
        <f t="shared" si="115"/>
        <v>5888602.1699999999</v>
      </c>
      <c r="M379" s="323">
        <f t="shared" si="115"/>
        <v>5222617.07</v>
      </c>
      <c r="N379" s="323">
        <f t="shared" si="115"/>
        <v>6690915.6100000003</v>
      </c>
      <c r="O379" s="323">
        <f t="shared" si="115"/>
        <v>6616442.6299999999</v>
      </c>
      <c r="P379" s="323">
        <f t="shared" si="115"/>
        <v>9368256.0299999993</v>
      </c>
      <c r="Q379" s="323">
        <f t="shared" si="115"/>
        <v>9706294.9800000004</v>
      </c>
      <c r="R379" s="323">
        <f t="shared" si="115"/>
        <v>7535683.6100000003</v>
      </c>
      <c r="S379" s="323">
        <f t="shared" si="115"/>
        <v>8231494.5599999987</v>
      </c>
      <c r="T379" s="323">
        <f t="shared" si="115"/>
        <v>11259409.299999999</v>
      </c>
      <c r="U379" s="433">
        <f t="shared" si="115"/>
        <v>11521201.75</v>
      </c>
      <c r="V379" s="433">
        <f t="shared" si="115"/>
        <v>11723175.119999999</v>
      </c>
    </row>
    <row r="380" spans="3:22">
      <c r="C380" s="71" t="s">
        <v>436</v>
      </c>
      <c r="F380" s="31"/>
      <c r="I380" s="506">
        <f t="shared" ref="I380:P387" si="116">I$379*$D291</f>
        <v>4036234.0712000001</v>
      </c>
      <c r="J380" s="312">
        <f t="shared" si="116"/>
        <v>4168674.2916000006</v>
      </c>
      <c r="K380" s="312">
        <f t="shared" si="116"/>
        <v>4200247.8544000005</v>
      </c>
      <c r="L380" s="312">
        <f t="shared" si="116"/>
        <v>4004249.4756</v>
      </c>
      <c r="M380" s="312">
        <f t="shared" si="116"/>
        <v>3551379.6076000007</v>
      </c>
      <c r="N380" s="312">
        <f t="shared" si="116"/>
        <v>4549822.6148000006</v>
      </c>
      <c r="O380" s="312">
        <f t="shared" si="116"/>
        <v>4499180.9884000001</v>
      </c>
      <c r="P380" s="312">
        <f t="shared" si="116"/>
        <v>6370414.1003999999</v>
      </c>
      <c r="Q380" s="312">
        <f t="shared" ref="Q380:Q387" si="117">Q$379*$D291</f>
        <v>6600280.5864000004</v>
      </c>
      <c r="R380" s="312">
        <f>R$379*$D291</f>
        <v>5124264.8548000008</v>
      </c>
      <c r="S380" s="312">
        <f>S$379*$D291</f>
        <v>5597416.3007999994</v>
      </c>
      <c r="T380" s="312">
        <f>T$379*$D291</f>
        <v>7656398.324</v>
      </c>
      <c r="U380" s="313">
        <f>U$379*$D291</f>
        <v>7834417.1900000004</v>
      </c>
      <c r="V380" s="313">
        <f>V$379*$D291</f>
        <v>7971759.0816000002</v>
      </c>
    </row>
    <row r="381" spans="3:22">
      <c r="C381" s="71" t="s">
        <v>437</v>
      </c>
      <c r="F381" s="31"/>
      <c r="I381" s="506">
        <f t="shared" si="116"/>
        <v>1246484.0514</v>
      </c>
      <c r="J381" s="312">
        <f t="shared" si="116"/>
        <v>1287384.7076999999</v>
      </c>
      <c r="K381" s="312">
        <f t="shared" si="116"/>
        <v>1297135.3668000002</v>
      </c>
      <c r="L381" s="312">
        <f t="shared" si="116"/>
        <v>1236606.4557</v>
      </c>
      <c r="M381" s="312">
        <f t="shared" si="116"/>
        <v>1096749.5847</v>
      </c>
      <c r="N381" s="312">
        <f t="shared" si="116"/>
        <v>1405092.2781</v>
      </c>
      <c r="O381" s="312">
        <f t="shared" si="116"/>
        <v>1389452.9523</v>
      </c>
      <c r="P381" s="312">
        <f t="shared" si="116"/>
        <v>1967333.7662999998</v>
      </c>
      <c r="Q381" s="312">
        <f t="shared" si="117"/>
        <v>2038321.9458000001</v>
      </c>
      <c r="R381" s="312">
        <f t="shared" ref="R381:V387" si="118">R$379*$D292</f>
        <v>1582493.5581</v>
      </c>
      <c r="S381" s="312">
        <f t="shared" si="118"/>
        <v>1728613.8575999998</v>
      </c>
      <c r="T381" s="312">
        <f t="shared" si="118"/>
        <v>2364475.9529999997</v>
      </c>
      <c r="U381" s="313">
        <f t="shared" si="118"/>
        <v>2419452.3674999997</v>
      </c>
      <c r="V381" s="313">
        <f t="shared" si="118"/>
        <v>2461866.7751999996</v>
      </c>
    </row>
    <row r="382" spans="3:22">
      <c r="C382" s="71" t="s">
        <v>416</v>
      </c>
      <c r="F382" s="31"/>
      <c r="I382" s="506">
        <f t="shared" si="116"/>
        <v>652920.21739999996</v>
      </c>
      <c r="J382" s="312">
        <f t="shared" si="116"/>
        <v>674344.37069999997</v>
      </c>
      <c r="K382" s="312">
        <f t="shared" si="116"/>
        <v>679451.85880000016</v>
      </c>
      <c r="L382" s="312">
        <f t="shared" si="116"/>
        <v>647746.23869999999</v>
      </c>
      <c r="M382" s="312">
        <f t="shared" si="116"/>
        <v>574487.87770000007</v>
      </c>
      <c r="N382" s="312">
        <f t="shared" si="116"/>
        <v>736000.71710000001</v>
      </c>
      <c r="O382" s="312">
        <f t="shared" si="116"/>
        <v>727808.68929999997</v>
      </c>
      <c r="P382" s="312">
        <f t="shared" si="116"/>
        <v>1030508.1632999999</v>
      </c>
      <c r="Q382" s="312">
        <f t="shared" si="117"/>
        <v>1067692.4478</v>
      </c>
      <c r="R382" s="312">
        <f t="shared" si="118"/>
        <v>828925.19709999999</v>
      </c>
      <c r="S382" s="312">
        <f t="shared" si="118"/>
        <v>905464.40159999987</v>
      </c>
      <c r="T382" s="312">
        <f t="shared" si="118"/>
        <v>1238535.0229999998</v>
      </c>
      <c r="U382" s="313">
        <f t="shared" si="118"/>
        <v>1267332.1925000001</v>
      </c>
      <c r="V382" s="313">
        <f t="shared" si="118"/>
        <v>1289549.2631999999</v>
      </c>
    </row>
    <row r="383" spans="3:22">
      <c r="C383" s="363" t="s">
        <v>438</v>
      </c>
      <c r="F383" s="31"/>
      <c r="I383" s="506">
        <f t="shared" si="116"/>
        <v>150171.65000199998</v>
      </c>
      <c r="J383" s="312">
        <f t="shared" si="116"/>
        <v>155099.205261</v>
      </c>
      <c r="K383" s="312">
        <f t="shared" si="116"/>
        <v>156273.92752400003</v>
      </c>
      <c r="L383" s="312">
        <f t="shared" si="116"/>
        <v>148981.63490099998</v>
      </c>
      <c r="M383" s="312">
        <f t="shared" si="116"/>
        <v>132132.21187100001</v>
      </c>
      <c r="N383" s="312">
        <f t="shared" si="116"/>
        <v>169280.16493299999</v>
      </c>
      <c r="O383" s="312">
        <f t="shared" si="116"/>
        <v>167395.99853899999</v>
      </c>
      <c r="P383" s="312">
        <f t="shared" si="116"/>
        <v>237016.87755899999</v>
      </c>
      <c r="Q383" s="312">
        <f t="shared" si="117"/>
        <v>245569.26299400002</v>
      </c>
      <c r="R383" s="312">
        <f t="shared" si="118"/>
        <v>190652.79533300002</v>
      </c>
      <c r="S383" s="312">
        <f t="shared" si="118"/>
        <v>208256.81236799996</v>
      </c>
      <c r="T383" s="312">
        <f t="shared" si="118"/>
        <v>284863.05528999999</v>
      </c>
      <c r="U383" s="313">
        <f t="shared" si="118"/>
        <v>291486.40427499998</v>
      </c>
      <c r="V383" s="313">
        <f t="shared" si="118"/>
        <v>296596.33053599996</v>
      </c>
    </row>
    <row r="384" spans="3:22">
      <c r="C384" s="363" t="s">
        <v>439</v>
      </c>
      <c r="F384" s="31"/>
      <c r="I384" s="506">
        <f t="shared" si="116"/>
        <v>346047.71522200003</v>
      </c>
      <c r="J384" s="312">
        <f t="shared" si="116"/>
        <v>357402.51647100004</v>
      </c>
      <c r="K384" s="312">
        <f t="shared" si="116"/>
        <v>360109.48516400007</v>
      </c>
      <c r="L384" s="312">
        <f t="shared" si="116"/>
        <v>343305.50651100004</v>
      </c>
      <c r="M384" s="312">
        <f t="shared" si="116"/>
        <v>304478.57518100005</v>
      </c>
      <c r="N384" s="312">
        <f t="shared" si="116"/>
        <v>390080.38006300008</v>
      </c>
      <c r="O384" s="312">
        <f t="shared" si="116"/>
        <v>385738.60532900004</v>
      </c>
      <c r="P384" s="312">
        <f t="shared" si="116"/>
        <v>546169.32654899999</v>
      </c>
      <c r="Q384" s="312">
        <f t="shared" si="117"/>
        <v>565876.99733400007</v>
      </c>
      <c r="R384" s="312">
        <f t="shared" si="118"/>
        <v>439330.35446300003</v>
      </c>
      <c r="S384" s="312">
        <f t="shared" si="118"/>
        <v>479896.13284799998</v>
      </c>
      <c r="T384" s="312">
        <f t="shared" si="118"/>
        <v>656423.56218999997</v>
      </c>
      <c r="U384" s="313">
        <f t="shared" si="118"/>
        <v>671686.06202500011</v>
      </c>
      <c r="V384" s="313">
        <f t="shared" si="118"/>
        <v>683461.10949599999</v>
      </c>
    </row>
    <row r="385" spans="3:24">
      <c r="C385" s="363" t="s">
        <v>440</v>
      </c>
      <c r="F385" s="31"/>
      <c r="I385" s="506">
        <f t="shared" si="116"/>
        <v>71821.223914000002</v>
      </c>
      <c r="J385" s="312">
        <f t="shared" si="116"/>
        <v>74177.880776999998</v>
      </c>
      <c r="K385" s="312">
        <f t="shared" si="116"/>
        <v>74739.704468000011</v>
      </c>
      <c r="L385" s="312">
        <f t="shared" si="116"/>
        <v>71252.086257000003</v>
      </c>
      <c r="M385" s="312">
        <f t="shared" si="116"/>
        <v>63193.666547000001</v>
      </c>
      <c r="N385" s="312">
        <f t="shared" si="116"/>
        <v>80960.078881000009</v>
      </c>
      <c r="O385" s="312">
        <f t="shared" si="116"/>
        <v>80058.955822999997</v>
      </c>
      <c r="P385" s="312">
        <f t="shared" si="116"/>
        <v>113355.897963</v>
      </c>
      <c r="Q385" s="312">
        <f t="shared" si="117"/>
        <v>117446.16925800001</v>
      </c>
      <c r="R385" s="312">
        <f t="shared" si="118"/>
        <v>91181.771680999998</v>
      </c>
      <c r="S385" s="312">
        <f t="shared" si="118"/>
        <v>99601.084175999975</v>
      </c>
      <c r="T385" s="312">
        <f t="shared" si="118"/>
        <v>136238.85252999997</v>
      </c>
      <c r="U385" s="313">
        <f t="shared" si="118"/>
        <v>139406.54117499999</v>
      </c>
      <c r="V385" s="313">
        <f t="shared" si="118"/>
        <v>141850.41895199998</v>
      </c>
    </row>
    <row r="386" spans="3:24">
      <c r="C386" s="363" t="s">
        <v>441</v>
      </c>
      <c r="F386" s="31"/>
      <c r="I386" s="506">
        <f t="shared" si="116"/>
        <v>45704.415218000002</v>
      </c>
      <c r="J386" s="312">
        <f t="shared" si="116"/>
        <v>47204.105949000004</v>
      </c>
      <c r="K386" s="312">
        <f t="shared" si="116"/>
        <v>47561.630116000015</v>
      </c>
      <c r="L386" s="312">
        <f t="shared" si="116"/>
        <v>45342.236709000004</v>
      </c>
      <c r="M386" s="312">
        <f t="shared" si="116"/>
        <v>40214.151439000008</v>
      </c>
      <c r="N386" s="312">
        <f t="shared" si="116"/>
        <v>51520.050197000011</v>
      </c>
      <c r="O386" s="312">
        <f t="shared" si="116"/>
        <v>50946.608251000005</v>
      </c>
      <c r="P386" s="312">
        <f t="shared" si="116"/>
        <v>72135.571431000004</v>
      </c>
      <c r="Q386" s="312">
        <f t="shared" si="117"/>
        <v>74738.47134600002</v>
      </c>
      <c r="R386" s="312">
        <f t="shared" si="118"/>
        <v>58024.763797000014</v>
      </c>
      <c r="S386" s="312">
        <f t="shared" si="118"/>
        <v>63382.508111999996</v>
      </c>
      <c r="T386" s="312">
        <f t="shared" si="118"/>
        <v>86697.451610000004</v>
      </c>
      <c r="U386" s="313">
        <f t="shared" si="118"/>
        <v>88713.25347500002</v>
      </c>
      <c r="V386" s="313">
        <f t="shared" si="118"/>
        <v>90268.448424000002</v>
      </c>
    </row>
    <row r="387" spans="3:24">
      <c r="C387" s="438" t="s">
        <v>442</v>
      </c>
      <c r="F387" s="31"/>
      <c r="I387" s="524">
        <f t="shared" si="116"/>
        <v>32646.010870000002</v>
      </c>
      <c r="J387" s="317">
        <f t="shared" si="116"/>
        <v>33717.218535000007</v>
      </c>
      <c r="K387" s="317">
        <f t="shared" si="116"/>
        <v>33972.59294000001</v>
      </c>
      <c r="L387" s="317">
        <f t="shared" si="116"/>
        <v>32387.311935000002</v>
      </c>
      <c r="M387" s="317">
        <f t="shared" si="116"/>
        <v>28724.393885000005</v>
      </c>
      <c r="N387" s="317">
        <f t="shared" si="116"/>
        <v>36800.035855000002</v>
      </c>
      <c r="O387" s="317">
        <f t="shared" si="116"/>
        <v>36390.434465000006</v>
      </c>
      <c r="P387" s="317">
        <f t="shared" si="116"/>
        <v>51525.408165000001</v>
      </c>
      <c r="Q387" s="317">
        <f t="shared" si="117"/>
        <v>53384.622390000011</v>
      </c>
      <c r="R387" s="317">
        <f t="shared" si="118"/>
        <v>41446.259855000004</v>
      </c>
      <c r="S387" s="317">
        <f t="shared" si="118"/>
        <v>45273.220079999999</v>
      </c>
      <c r="T387" s="317">
        <f t="shared" si="118"/>
        <v>61926.751149999996</v>
      </c>
      <c r="U387" s="424">
        <f t="shared" si="118"/>
        <v>63366.609625000005</v>
      </c>
      <c r="V387" s="424">
        <f t="shared" si="118"/>
        <v>64477.463159999999</v>
      </c>
    </row>
    <row r="388" spans="3:24">
      <c r="C388" s="434" t="s">
        <v>436</v>
      </c>
      <c r="F388" s="31"/>
      <c r="I388" s="521">
        <f t="shared" ref="I388:P395" si="119">I380*I291</f>
        <v>4036234.0712000001</v>
      </c>
      <c r="J388" s="361">
        <f t="shared" si="119"/>
        <v>4168674.2916000006</v>
      </c>
      <c r="K388" s="361">
        <f t="shared" si="119"/>
        <v>4200247.8544000005</v>
      </c>
      <c r="L388" s="361">
        <f t="shared" si="119"/>
        <v>4004249.4756</v>
      </c>
      <c r="M388" s="361">
        <f t="shared" si="119"/>
        <v>3551379.6076000007</v>
      </c>
      <c r="N388" s="361">
        <f t="shared" si="119"/>
        <v>4549822.6148000006</v>
      </c>
      <c r="O388" s="361">
        <f t="shared" si="119"/>
        <v>4499180.9884000001</v>
      </c>
      <c r="P388" s="361">
        <f t="shared" si="119"/>
        <v>6370414.1003999999</v>
      </c>
      <c r="Q388" s="361">
        <f t="shared" ref="Q388:V388" si="120">Q380*Q291</f>
        <v>6600280.5864000004</v>
      </c>
      <c r="R388" s="361">
        <f t="shared" si="120"/>
        <v>5124264.8548000008</v>
      </c>
      <c r="S388" s="361">
        <f t="shared" si="120"/>
        <v>5597416.3007999994</v>
      </c>
      <c r="T388" s="361">
        <f t="shared" si="120"/>
        <v>7656398.324</v>
      </c>
      <c r="U388" s="435">
        <f t="shared" si="120"/>
        <v>7834417.1900000004</v>
      </c>
      <c r="V388" s="435">
        <f t="shared" si="120"/>
        <v>7971759.0816000002</v>
      </c>
    </row>
    <row r="389" spans="3:24">
      <c r="C389" s="434" t="s">
        <v>437</v>
      </c>
      <c r="F389" s="31"/>
      <c r="I389" s="521">
        <f t="shared" si="119"/>
        <v>1246484.0514</v>
      </c>
      <c r="J389" s="361">
        <f t="shared" si="119"/>
        <v>1287384.7076999999</v>
      </c>
      <c r="K389" s="361">
        <f t="shared" si="119"/>
        <v>1297135.3668000002</v>
      </c>
      <c r="L389" s="361">
        <f t="shared" si="119"/>
        <v>1236606.4557</v>
      </c>
      <c r="M389" s="361">
        <f t="shared" si="119"/>
        <v>1096749.5847</v>
      </c>
      <c r="N389" s="361">
        <f t="shared" si="119"/>
        <v>1405092.2781</v>
      </c>
      <c r="O389" s="361">
        <f t="shared" si="119"/>
        <v>1389452.9523</v>
      </c>
      <c r="P389" s="361">
        <f t="shared" si="119"/>
        <v>1967333.7662999998</v>
      </c>
      <c r="Q389" s="361">
        <f t="shared" ref="Q389:V395" si="121">Q381*Q292</f>
        <v>2038321.9458000001</v>
      </c>
      <c r="R389" s="361">
        <f t="shared" si="121"/>
        <v>1582493.5581</v>
      </c>
      <c r="S389" s="361">
        <f t="shared" si="121"/>
        <v>1728613.8575999998</v>
      </c>
      <c r="T389" s="361">
        <f t="shared" si="121"/>
        <v>2364475.9529999997</v>
      </c>
      <c r="U389" s="435">
        <f t="shared" si="121"/>
        <v>2419452.3674999997</v>
      </c>
      <c r="V389" s="435">
        <f t="shared" si="121"/>
        <v>2461866.7751999996</v>
      </c>
    </row>
    <row r="390" spans="3:24">
      <c r="C390" s="434" t="s">
        <v>416</v>
      </c>
      <c r="F390" s="31"/>
      <c r="I390" s="521">
        <f t="shared" si="119"/>
        <v>0</v>
      </c>
      <c r="J390" s="361">
        <f t="shared" si="119"/>
        <v>0</v>
      </c>
      <c r="K390" s="361">
        <f t="shared" si="119"/>
        <v>0</v>
      </c>
      <c r="L390" s="361">
        <f t="shared" si="119"/>
        <v>0</v>
      </c>
      <c r="M390" s="361">
        <f t="shared" si="119"/>
        <v>0</v>
      </c>
      <c r="N390" s="361">
        <f t="shared" si="119"/>
        <v>0</v>
      </c>
      <c r="O390" s="361">
        <f t="shared" si="119"/>
        <v>0</v>
      </c>
      <c r="P390" s="361">
        <f t="shared" si="119"/>
        <v>0</v>
      </c>
      <c r="Q390" s="361">
        <f t="shared" si="121"/>
        <v>0</v>
      </c>
      <c r="R390" s="361">
        <f t="shared" si="121"/>
        <v>0</v>
      </c>
      <c r="S390" s="361">
        <f t="shared" si="121"/>
        <v>0</v>
      </c>
      <c r="T390" s="361">
        <f t="shared" si="121"/>
        <v>0</v>
      </c>
      <c r="U390" s="435">
        <f t="shared" si="121"/>
        <v>0</v>
      </c>
      <c r="V390" s="435">
        <f t="shared" si="121"/>
        <v>0</v>
      </c>
    </row>
    <row r="391" spans="3:24">
      <c r="C391" s="436" t="s">
        <v>438</v>
      </c>
      <c r="F391" s="31"/>
      <c r="I391" s="521">
        <f t="shared" si="119"/>
        <v>150171.65000199998</v>
      </c>
      <c r="J391" s="361">
        <f t="shared" si="119"/>
        <v>155099.205261</v>
      </c>
      <c r="K391" s="361">
        <f t="shared" si="119"/>
        <v>156273.92752400003</v>
      </c>
      <c r="L391" s="361">
        <f t="shared" si="119"/>
        <v>148981.63490099998</v>
      </c>
      <c r="M391" s="361">
        <f t="shared" si="119"/>
        <v>132132.21187100001</v>
      </c>
      <c r="N391" s="361">
        <f t="shared" si="119"/>
        <v>169280.16493299999</v>
      </c>
      <c r="O391" s="361">
        <f t="shared" si="119"/>
        <v>167395.99853899999</v>
      </c>
      <c r="P391" s="361">
        <f t="shared" si="119"/>
        <v>237016.87755899999</v>
      </c>
      <c r="Q391" s="361">
        <f t="shared" si="121"/>
        <v>245569.26299400002</v>
      </c>
      <c r="R391" s="361">
        <f t="shared" si="121"/>
        <v>190652.79533300002</v>
      </c>
      <c r="S391" s="361">
        <f t="shared" si="121"/>
        <v>208256.81236799996</v>
      </c>
      <c r="T391" s="361">
        <f t="shared" si="121"/>
        <v>284863.05528999999</v>
      </c>
      <c r="U391" s="435">
        <f t="shared" si="121"/>
        <v>291486.40427499998</v>
      </c>
      <c r="V391" s="435">
        <f t="shared" si="121"/>
        <v>296596.33053599996</v>
      </c>
    </row>
    <row r="392" spans="3:24">
      <c r="C392" s="436" t="s">
        <v>439</v>
      </c>
      <c r="F392" s="31"/>
      <c r="I392" s="521">
        <f t="shared" si="119"/>
        <v>0</v>
      </c>
      <c r="J392" s="361">
        <f t="shared" si="119"/>
        <v>0</v>
      </c>
      <c r="K392" s="361">
        <f t="shared" si="119"/>
        <v>0</v>
      </c>
      <c r="L392" s="361">
        <f t="shared" si="119"/>
        <v>0</v>
      </c>
      <c r="M392" s="361">
        <f t="shared" si="119"/>
        <v>0</v>
      </c>
      <c r="N392" s="361">
        <f t="shared" si="119"/>
        <v>0</v>
      </c>
      <c r="O392" s="361">
        <f t="shared" si="119"/>
        <v>0</v>
      </c>
      <c r="P392" s="361">
        <f t="shared" si="119"/>
        <v>0</v>
      </c>
      <c r="Q392" s="361">
        <f t="shared" si="121"/>
        <v>0</v>
      </c>
      <c r="R392" s="361">
        <f t="shared" si="121"/>
        <v>0</v>
      </c>
      <c r="S392" s="361">
        <f t="shared" si="121"/>
        <v>0</v>
      </c>
      <c r="T392" s="361">
        <f t="shared" si="121"/>
        <v>0</v>
      </c>
      <c r="U392" s="435">
        <f t="shared" si="121"/>
        <v>0</v>
      </c>
      <c r="V392" s="435">
        <f t="shared" si="121"/>
        <v>0</v>
      </c>
    </row>
    <row r="393" spans="3:24">
      <c r="C393" s="436" t="s">
        <v>440</v>
      </c>
      <c r="F393" s="31"/>
      <c r="I393" s="521">
        <f t="shared" si="119"/>
        <v>71821.223914000002</v>
      </c>
      <c r="J393" s="361">
        <f t="shared" si="119"/>
        <v>74177.880776999998</v>
      </c>
      <c r="K393" s="361">
        <f t="shared" si="119"/>
        <v>74739.704468000011</v>
      </c>
      <c r="L393" s="361">
        <f t="shared" si="119"/>
        <v>71252.086257000003</v>
      </c>
      <c r="M393" s="361">
        <f t="shared" si="119"/>
        <v>63193.666547000001</v>
      </c>
      <c r="N393" s="361">
        <f t="shared" si="119"/>
        <v>80960.078881000009</v>
      </c>
      <c r="O393" s="361">
        <f t="shared" si="119"/>
        <v>80058.955822999997</v>
      </c>
      <c r="P393" s="361">
        <f t="shared" si="119"/>
        <v>113355.897963</v>
      </c>
      <c r="Q393" s="361">
        <f t="shared" si="121"/>
        <v>117446.16925800001</v>
      </c>
      <c r="R393" s="361">
        <f t="shared" si="121"/>
        <v>91181.771680999998</v>
      </c>
      <c r="S393" s="361">
        <f t="shared" si="121"/>
        <v>99601.084175999975</v>
      </c>
      <c r="T393" s="361">
        <f t="shared" si="121"/>
        <v>136238.85252999997</v>
      </c>
      <c r="U393" s="435">
        <f t="shared" si="121"/>
        <v>139406.54117499999</v>
      </c>
      <c r="V393" s="435">
        <f t="shared" si="121"/>
        <v>141850.41895199998</v>
      </c>
    </row>
    <row r="394" spans="3:24">
      <c r="C394" s="436" t="s">
        <v>441</v>
      </c>
      <c r="F394" s="31"/>
      <c r="I394" s="521">
        <f t="shared" si="119"/>
        <v>0</v>
      </c>
      <c r="J394" s="361">
        <f t="shared" si="119"/>
        <v>0</v>
      </c>
      <c r="K394" s="361">
        <f t="shared" si="119"/>
        <v>0</v>
      </c>
      <c r="L394" s="361">
        <f t="shared" si="119"/>
        <v>0</v>
      </c>
      <c r="M394" s="361">
        <f t="shared" si="119"/>
        <v>0</v>
      </c>
      <c r="N394" s="361">
        <f t="shared" si="119"/>
        <v>0</v>
      </c>
      <c r="O394" s="361">
        <f t="shared" si="119"/>
        <v>0</v>
      </c>
      <c r="P394" s="361">
        <f t="shared" si="119"/>
        <v>0</v>
      </c>
      <c r="Q394" s="361">
        <f t="shared" si="121"/>
        <v>0</v>
      </c>
      <c r="R394" s="361">
        <f t="shared" si="121"/>
        <v>0</v>
      </c>
      <c r="S394" s="361">
        <f t="shared" si="121"/>
        <v>0</v>
      </c>
      <c r="T394" s="361">
        <f t="shared" si="121"/>
        <v>0</v>
      </c>
      <c r="U394" s="435">
        <f t="shared" si="121"/>
        <v>0</v>
      </c>
      <c r="V394" s="435">
        <f t="shared" si="121"/>
        <v>0</v>
      </c>
    </row>
    <row r="395" spans="3:24">
      <c r="C395" s="436" t="s">
        <v>442</v>
      </c>
      <c r="F395" s="31"/>
      <c r="I395" s="521">
        <f t="shared" si="119"/>
        <v>32646.010870000002</v>
      </c>
      <c r="J395" s="361">
        <f t="shared" si="119"/>
        <v>33717.218535000007</v>
      </c>
      <c r="K395" s="361">
        <f t="shared" si="119"/>
        <v>33972.59294000001</v>
      </c>
      <c r="L395" s="361">
        <f t="shared" si="119"/>
        <v>32387.311935000002</v>
      </c>
      <c r="M395" s="361">
        <f t="shared" si="119"/>
        <v>28724.393885000005</v>
      </c>
      <c r="N395" s="361">
        <f t="shared" si="119"/>
        <v>36800.035855000002</v>
      </c>
      <c r="O395" s="361">
        <f t="shared" si="119"/>
        <v>36390.434465000006</v>
      </c>
      <c r="P395" s="361">
        <f t="shared" si="119"/>
        <v>51525.408165000001</v>
      </c>
      <c r="Q395" s="361">
        <f t="shared" si="121"/>
        <v>53384.622390000011</v>
      </c>
      <c r="R395" s="361">
        <f t="shared" si="121"/>
        <v>41446.259855000004</v>
      </c>
      <c r="S395" s="361">
        <f t="shared" si="121"/>
        <v>45273.220079999999</v>
      </c>
      <c r="T395" s="361">
        <f t="shared" si="121"/>
        <v>61926.751149999996</v>
      </c>
      <c r="U395" s="435">
        <f t="shared" si="121"/>
        <v>63366.609625000005</v>
      </c>
      <c r="V395" s="435">
        <f t="shared" si="121"/>
        <v>64477.463159999999</v>
      </c>
    </row>
    <row r="396" spans="3:24">
      <c r="C396" s="436" t="s">
        <v>241</v>
      </c>
      <c r="F396" s="31"/>
      <c r="I396" s="521">
        <f>SUM(I388:I395)</f>
        <v>5537357.0073860008</v>
      </c>
      <c r="J396" s="361">
        <f t="shared" ref="J396:P396" si="122">SUM(J388:J395)</f>
        <v>5719053.3038730016</v>
      </c>
      <c r="K396" s="361">
        <f t="shared" si="122"/>
        <v>5762369.4461320005</v>
      </c>
      <c r="L396" s="361">
        <f t="shared" si="122"/>
        <v>5493476.964393001</v>
      </c>
      <c r="M396" s="361">
        <f t="shared" si="122"/>
        <v>4872179.4646030013</v>
      </c>
      <c r="N396" s="361">
        <f t="shared" si="122"/>
        <v>6241955.1725690002</v>
      </c>
      <c r="O396" s="361">
        <f t="shared" si="122"/>
        <v>6172479.329527</v>
      </c>
      <c r="P396" s="361">
        <f t="shared" si="122"/>
        <v>8739646.0503870007</v>
      </c>
      <c r="Q396" s="361">
        <f t="shared" ref="Q396:V396" si="123">SUM(Q388:Q395)</f>
        <v>9055002.5868420023</v>
      </c>
      <c r="R396" s="361">
        <f t="shared" si="123"/>
        <v>7030039.2397690006</v>
      </c>
      <c r="S396" s="361">
        <f t="shared" si="123"/>
        <v>7679161.2750239996</v>
      </c>
      <c r="T396" s="361">
        <f t="shared" si="123"/>
        <v>10503902.935970001</v>
      </c>
      <c r="U396" s="435">
        <f t="shared" si="123"/>
        <v>10748129.112575002</v>
      </c>
      <c r="V396" s="435">
        <f t="shared" si="123"/>
        <v>10936550.069448</v>
      </c>
    </row>
    <row r="397" spans="3:24">
      <c r="C397" s="439" t="s">
        <v>241</v>
      </c>
      <c r="D397" s="467"/>
      <c r="E397" s="467"/>
      <c r="F397" s="515"/>
      <c r="I397" s="525">
        <f>I396+I377+I358+I339+I320</f>
        <v>636695672.74027014</v>
      </c>
      <c r="J397" s="440">
        <f t="shared" ref="J397:P397" si="124">J396+J377+J358+J339+J320</f>
        <v>696767082.19910502</v>
      </c>
      <c r="K397" s="440">
        <f t="shared" si="124"/>
        <v>687289926.80010772</v>
      </c>
      <c r="L397" s="440">
        <f t="shared" si="124"/>
        <v>655053111.17275381</v>
      </c>
      <c r="M397" s="440">
        <f t="shared" si="124"/>
        <v>575163990.62616754</v>
      </c>
      <c r="N397" s="440">
        <f t="shared" si="124"/>
        <v>534855283.21679246</v>
      </c>
      <c r="O397" s="440">
        <f t="shared" si="124"/>
        <v>584664030.78889298</v>
      </c>
      <c r="P397" s="440">
        <f t="shared" si="124"/>
        <v>668714986.79889798</v>
      </c>
      <c r="Q397" s="440">
        <f t="shared" ref="Q397:V397" si="125">Q396+Q377+Q358+Q339+Q320</f>
        <v>666346438.88103485</v>
      </c>
      <c r="R397" s="440">
        <f t="shared" si="125"/>
        <v>531488297.62236953</v>
      </c>
      <c r="S397" s="440">
        <f t="shared" si="125"/>
        <v>645882659.69619489</v>
      </c>
      <c r="T397" s="440">
        <f t="shared" si="125"/>
        <v>833066143.338117</v>
      </c>
      <c r="U397" s="441">
        <f t="shared" si="125"/>
        <v>813092105.42610598</v>
      </c>
      <c r="V397" s="441">
        <f t="shared" si="125"/>
        <v>784966529.52220678</v>
      </c>
      <c r="X397" s="1301">
        <f>V397/L397-1</f>
        <v>0.19832501538213676</v>
      </c>
    </row>
    <row r="398" spans="3:24">
      <c r="U398" s="322"/>
      <c r="V398" s="324"/>
    </row>
    <row r="399" spans="3:24">
      <c r="C399" s="1397" t="s">
        <v>1236</v>
      </c>
    </row>
    <row r="400" spans="3:24">
      <c r="C400" s="1425" t="s">
        <v>436</v>
      </c>
      <c r="D400" s="70"/>
      <c r="E400" s="70"/>
      <c r="F400" s="29"/>
      <c r="I400" s="357">
        <f>(I388+I369+I350+I331+I312)/I$397</f>
        <v>0.72890985100225114</v>
      </c>
      <c r="J400" s="331">
        <f t="shared" ref="J400:V400" si="126">(J388+J369+J350+J331+J312)/J$397</f>
        <v>0.72890985100225114</v>
      </c>
      <c r="K400" s="331">
        <f t="shared" si="126"/>
        <v>0.72890985100225114</v>
      </c>
      <c r="L400" s="331">
        <f t="shared" si="126"/>
        <v>0.72890985100225103</v>
      </c>
      <c r="M400" s="331">
        <f t="shared" si="126"/>
        <v>0.72890985100225114</v>
      </c>
      <c r="N400" s="331">
        <f t="shared" si="126"/>
        <v>0.72890985100225103</v>
      </c>
      <c r="O400" s="331">
        <f t="shared" si="126"/>
        <v>0.72890985100225103</v>
      </c>
      <c r="P400" s="331">
        <f t="shared" si="126"/>
        <v>0.72890985100225114</v>
      </c>
      <c r="Q400" s="331">
        <f t="shared" si="126"/>
        <v>0.72890985100225114</v>
      </c>
      <c r="R400" s="331">
        <f t="shared" si="126"/>
        <v>0.72890985100225103</v>
      </c>
      <c r="S400" s="331">
        <f t="shared" si="126"/>
        <v>0.72890985100225125</v>
      </c>
      <c r="T400" s="331">
        <f t="shared" si="126"/>
        <v>0.72890985100225103</v>
      </c>
      <c r="U400" s="331">
        <f t="shared" si="126"/>
        <v>0.72890985100225092</v>
      </c>
      <c r="V400" s="289">
        <f t="shared" si="126"/>
        <v>0.72890985100225114</v>
      </c>
    </row>
    <row r="401" spans="1:24">
      <c r="C401" s="434" t="s">
        <v>437</v>
      </c>
      <c r="F401" s="31"/>
      <c r="I401" s="114">
        <f t="shared" ref="I401:V407" si="127">(I389+I370+I351+I332+I313)/I$397</f>
        <v>0.22510451280951874</v>
      </c>
      <c r="J401" s="115">
        <f t="shared" si="127"/>
        <v>0.22510451280951868</v>
      </c>
      <c r="K401" s="115">
        <f t="shared" si="127"/>
        <v>0.22510451280951871</v>
      </c>
      <c r="L401" s="115">
        <f t="shared" si="127"/>
        <v>0.22510451280951868</v>
      </c>
      <c r="M401" s="115">
        <f t="shared" si="127"/>
        <v>0.22510451280951868</v>
      </c>
      <c r="N401" s="115">
        <f t="shared" si="127"/>
        <v>0.22510451280951868</v>
      </c>
      <c r="O401" s="115">
        <f t="shared" si="127"/>
        <v>0.22510451280951868</v>
      </c>
      <c r="P401" s="115">
        <f t="shared" si="127"/>
        <v>0.22510451280951871</v>
      </c>
      <c r="Q401" s="115">
        <f t="shared" si="127"/>
        <v>0.22510451280951865</v>
      </c>
      <c r="R401" s="115">
        <f t="shared" si="127"/>
        <v>0.22510451280951871</v>
      </c>
      <c r="S401" s="115">
        <f t="shared" si="127"/>
        <v>0.22510451280951868</v>
      </c>
      <c r="T401" s="115">
        <f t="shared" si="127"/>
        <v>0.22510451280951868</v>
      </c>
      <c r="U401" s="115">
        <f t="shared" si="127"/>
        <v>0.22510451280951865</v>
      </c>
      <c r="V401" s="116">
        <f t="shared" si="127"/>
        <v>0.22510451280951865</v>
      </c>
    </row>
    <row r="402" spans="1:24">
      <c r="C402" s="434" t="s">
        <v>416</v>
      </c>
      <c r="F402" s="31"/>
      <c r="I402" s="114">
        <f t="shared" si="127"/>
        <v>0</v>
      </c>
      <c r="J402" s="115">
        <f t="shared" si="127"/>
        <v>0</v>
      </c>
      <c r="K402" s="115">
        <f t="shared" si="127"/>
        <v>0</v>
      </c>
      <c r="L402" s="115">
        <f t="shared" si="127"/>
        <v>0</v>
      </c>
      <c r="M402" s="115">
        <f t="shared" si="127"/>
        <v>0</v>
      </c>
      <c r="N402" s="115">
        <f t="shared" si="127"/>
        <v>0</v>
      </c>
      <c r="O402" s="115">
        <f t="shared" si="127"/>
        <v>0</v>
      </c>
      <c r="P402" s="115">
        <f t="shared" si="127"/>
        <v>0</v>
      </c>
      <c r="Q402" s="115">
        <f t="shared" si="127"/>
        <v>0</v>
      </c>
      <c r="R402" s="115">
        <f t="shared" si="127"/>
        <v>0</v>
      </c>
      <c r="S402" s="115">
        <f t="shared" si="127"/>
        <v>0</v>
      </c>
      <c r="T402" s="115">
        <f t="shared" si="127"/>
        <v>0</v>
      </c>
      <c r="U402" s="115">
        <f t="shared" si="127"/>
        <v>0</v>
      </c>
      <c r="V402" s="116">
        <f t="shared" si="127"/>
        <v>0</v>
      </c>
    </row>
    <row r="403" spans="1:24">
      <c r="C403" s="436" t="s">
        <v>438</v>
      </c>
      <c r="F403" s="31"/>
      <c r="I403" s="114">
        <f t="shared" si="127"/>
        <v>2.711973416228964E-2</v>
      </c>
      <c r="J403" s="115">
        <f t="shared" si="127"/>
        <v>2.7119734162289636E-2</v>
      </c>
      <c r="K403" s="115">
        <f t="shared" si="127"/>
        <v>2.711973416228964E-2</v>
      </c>
      <c r="L403" s="115">
        <f t="shared" si="127"/>
        <v>2.7119734162289633E-2</v>
      </c>
      <c r="M403" s="115">
        <f t="shared" si="127"/>
        <v>2.7119734162289636E-2</v>
      </c>
      <c r="N403" s="115">
        <f t="shared" si="127"/>
        <v>2.7119734162289629E-2</v>
      </c>
      <c r="O403" s="115">
        <f t="shared" si="127"/>
        <v>2.7119734162289633E-2</v>
      </c>
      <c r="P403" s="115">
        <f t="shared" si="127"/>
        <v>2.7119734162289633E-2</v>
      </c>
      <c r="Q403" s="115">
        <f t="shared" si="127"/>
        <v>2.7119734162289633E-2</v>
      </c>
      <c r="R403" s="115">
        <f t="shared" si="127"/>
        <v>2.7119734162289633E-2</v>
      </c>
      <c r="S403" s="115">
        <f t="shared" si="127"/>
        <v>2.7119734162289636E-2</v>
      </c>
      <c r="T403" s="115">
        <f t="shared" si="127"/>
        <v>2.7119734162289633E-2</v>
      </c>
      <c r="U403" s="115">
        <f t="shared" si="127"/>
        <v>2.7119734162289633E-2</v>
      </c>
      <c r="V403" s="116">
        <f t="shared" si="127"/>
        <v>2.7119734162289629E-2</v>
      </c>
    </row>
    <row r="404" spans="1:24">
      <c r="C404" s="436" t="s">
        <v>439</v>
      </c>
      <c r="F404" s="31"/>
      <c r="I404" s="114">
        <f t="shared" si="127"/>
        <v>0</v>
      </c>
      <c r="J404" s="115">
        <f t="shared" si="127"/>
        <v>0</v>
      </c>
      <c r="K404" s="115">
        <f t="shared" si="127"/>
        <v>0</v>
      </c>
      <c r="L404" s="115">
        <f t="shared" si="127"/>
        <v>0</v>
      </c>
      <c r="M404" s="115">
        <f t="shared" si="127"/>
        <v>0</v>
      </c>
      <c r="N404" s="115">
        <f t="shared" si="127"/>
        <v>0</v>
      </c>
      <c r="O404" s="115">
        <f t="shared" si="127"/>
        <v>0</v>
      </c>
      <c r="P404" s="115">
        <f t="shared" si="127"/>
        <v>0</v>
      </c>
      <c r="Q404" s="115">
        <f t="shared" si="127"/>
        <v>0</v>
      </c>
      <c r="R404" s="115">
        <f t="shared" si="127"/>
        <v>0</v>
      </c>
      <c r="S404" s="115">
        <f t="shared" si="127"/>
        <v>0</v>
      </c>
      <c r="T404" s="115">
        <f t="shared" si="127"/>
        <v>0</v>
      </c>
      <c r="U404" s="115">
        <f t="shared" si="127"/>
        <v>0</v>
      </c>
      <c r="V404" s="116">
        <f t="shared" si="127"/>
        <v>0</v>
      </c>
    </row>
    <row r="405" spans="1:24">
      <c r="C405" s="436" t="s">
        <v>440</v>
      </c>
      <c r="F405" s="31"/>
      <c r="I405" s="114">
        <f t="shared" si="127"/>
        <v>1.2970307642834172E-2</v>
      </c>
      <c r="J405" s="115">
        <f t="shared" si="127"/>
        <v>1.2970307642834172E-2</v>
      </c>
      <c r="K405" s="115">
        <f t="shared" si="127"/>
        <v>1.2970307642834173E-2</v>
      </c>
      <c r="L405" s="115">
        <f t="shared" si="127"/>
        <v>1.2970307642834172E-2</v>
      </c>
      <c r="M405" s="115">
        <f t="shared" si="127"/>
        <v>1.2970307642834173E-2</v>
      </c>
      <c r="N405" s="115">
        <f t="shared" si="127"/>
        <v>1.2970307642834172E-2</v>
      </c>
      <c r="O405" s="115">
        <f t="shared" si="127"/>
        <v>1.2970307642834173E-2</v>
      </c>
      <c r="P405" s="115">
        <f t="shared" si="127"/>
        <v>1.2970307642834173E-2</v>
      </c>
      <c r="Q405" s="115">
        <f t="shared" si="127"/>
        <v>1.2970307642834172E-2</v>
      </c>
      <c r="R405" s="115">
        <f t="shared" si="127"/>
        <v>1.2970307642834172E-2</v>
      </c>
      <c r="S405" s="115">
        <f t="shared" si="127"/>
        <v>1.2970307642834175E-2</v>
      </c>
      <c r="T405" s="115">
        <f t="shared" si="127"/>
        <v>1.2970307642834172E-2</v>
      </c>
      <c r="U405" s="115">
        <f t="shared" si="127"/>
        <v>1.2970307642834172E-2</v>
      </c>
      <c r="V405" s="116">
        <f t="shared" si="127"/>
        <v>1.2970307642834172E-2</v>
      </c>
    </row>
    <row r="406" spans="1:24">
      <c r="C406" s="436" t="s">
        <v>441</v>
      </c>
      <c r="F406" s="31"/>
      <c r="I406" s="114">
        <f t="shared" si="127"/>
        <v>0</v>
      </c>
      <c r="J406" s="115">
        <f t="shared" si="127"/>
        <v>0</v>
      </c>
      <c r="K406" s="115">
        <f t="shared" si="127"/>
        <v>0</v>
      </c>
      <c r="L406" s="115">
        <f t="shared" si="127"/>
        <v>0</v>
      </c>
      <c r="M406" s="115">
        <f t="shared" si="127"/>
        <v>0</v>
      </c>
      <c r="N406" s="115">
        <f t="shared" si="127"/>
        <v>0</v>
      </c>
      <c r="O406" s="115">
        <f t="shared" si="127"/>
        <v>0</v>
      </c>
      <c r="P406" s="115">
        <f t="shared" si="127"/>
        <v>0</v>
      </c>
      <c r="Q406" s="115">
        <f t="shared" si="127"/>
        <v>0</v>
      </c>
      <c r="R406" s="115">
        <f t="shared" si="127"/>
        <v>0</v>
      </c>
      <c r="S406" s="115">
        <f t="shared" si="127"/>
        <v>0</v>
      </c>
      <c r="T406" s="115">
        <f t="shared" si="127"/>
        <v>0</v>
      </c>
      <c r="U406" s="115">
        <f t="shared" si="127"/>
        <v>0</v>
      </c>
      <c r="V406" s="116">
        <f t="shared" si="127"/>
        <v>0</v>
      </c>
    </row>
    <row r="407" spans="1:24">
      <c r="C407" s="436" t="s">
        <v>442</v>
      </c>
      <c r="F407" s="31"/>
      <c r="I407" s="114">
        <f t="shared" si="127"/>
        <v>5.8955943831064429E-3</v>
      </c>
      <c r="J407" s="115">
        <f t="shared" si="127"/>
        <v>5.8955943831064429E-3</v>
      </c>
      <c r="K407" s="115">
        <f t="shared" si="127"/>
        <v>5.8955943831064429E-3</v>
      </c>
      <c r="L407" s="115">
        <f t="shared" si="127"/>
        <v>5.8955943831064429E-3</v>
      </c>
      <c r="M407" s="115">
        <f t="shared" si="127"/>
        <v>5.8955943831064429E-3</v>
      </c>
      <c r="N407" s="115">
        <f t="shared" si="127"/>
        <v>5.8955943831064412E-3</v>
      </c>
      <c r="O407" s="115">
        <f t="shared" si="127"/>
        <v>5.8955943831064429E-3</v>
      </c>
      <c r="P407" s="115">
        <f t="shared" si="127"/>
        <v>5.8955943831064429E-3</v>
      </c>
      <c r="Q407" s="115">
        <f t="shared" si="127"/>
        <v>5.8955943831064429E-3</v>
      </c>
      <c r="R407" s="115">
        <f t="shared" si="127"/>
        <v>5.8955943831064438E-3</v>
      </c>
      <c r="S407" s="115">
        <f t="shared" si="127"/>
        <v>5.8955943831064438E-3</v>
      </c>
      <c r="T407" s="115">
        <f t="shared" si="127"/>
        <v>5.8955943831064429E-3</v>
      </c>
      <c r="U407" s="115">
        <f t="shared" si="127"/>
        <v>5.8955943831064412E-3</v>
      </c>
      <c r="V407" s="116">
        <f t="shared" si="127"/>
        <v>5.8955943831064421E-3</v>
      </c>
    </row>
    <row r="408" spans="1:24">
      <c r="C408" s="1426" t="s">
        <v>241</v>
      </c>
      <c r="D408" s="92"/>
      <c r="E408" s="92"/>
      <c r="F408" s="33"/>
      <c r="I408" s="358">
        <f>SUM(I400:I407)</f>
        <v>1</v>
      </c>
      <c r="J408" s="329">
        <f t="shared" ref="J408:V408" si="128">SUM(J400:J407)</f>
        <v>1</v>
      </c>
      <c r="K408" s="329">
        <f t="shared" si="128"/>
        <v>1</v>
      </c>
      <c r="L408" s="329">
        <f t="shared" si="128"/>
        <v>1</v>
      </c>
      <c r="M408" s="329">
        <f t="shared" si="128"/>
        <v>1</v>
      </c>
      <c r="N408" s="329">
        <f t="shared" si="128"/>
        <v>1</v>
      </c>
      <c r="O408" s="329">
        <f t="shared" si="128"/>
        <v>1</v>
      </c>
      <c r="P408" s="329">
        <f t="shared" si="128"/>
        <v>1</v>
      </c>
      <c r="Q408" s="329">
        <f t="shared" si="128"/>
        <v>1</v>
      </c>
      <c r="R408" s="329">
        <f t="shared" si="128"/>
        <v>1</v>
      </c>
      <c r="S408" s="329">
        <f t="shared" si="128"/>
        <v>1.0000000000000002</v>
      </c>
      <c r="T408" s="329">
        <f t="shared" si="128"/>
        <v>1</v>
      </c>
      <c r="U408" s="329">
        <f t="shared" si="128"/>
        <v>0.99999999999999978</v>
      </c>
      <c r="V408" s="330">
        <f t="shared" si="128"/>
        <v>1</v>
      </c>
    </row>
    <row r="410" spans="1:24" ht="16">
      <c r="C410" s="1427" t="s">
        <v>444</v>
      </c>
      <c r="D410" s="1428"/>
      <c r="E410" s="1429"/>
      <c r="F410" s="1429"/>
      <c r="G410" s="337"/>
      <c r="H410" s="337"/>
      <c r="I410" s="1430">
        <v>2011</v>
      </c>
      <c r="J410" s="1431">
        <v>2012</v>
      </c>
      <c r="K410" s="1431">
        <v>2013</v>
      </c>
      <c r="L410" s="1431">
        <v>2014</v>
      </c>
      <c r="M410" s="1431">
        <v>2015</v>
      </c>
      <c r="N410" s="1431">
        <v>2016</v>
      </c>
      <c r="O410" s="1431">
        <v>2017</v>
      </c>
      <c r="P410" s="1431">
        <v>2018</v>
      </c>
      <c r="Q410" s="1431">
        <v>2019</v>
      </c>
      <c r="R410" s="1431">
        <v>2020</v>
      </c>
      <c r="S410" s="1431">
        <v>2021</v>
      </c>
      <c r="T410" s="1431">
        <v>2022</v>
      </c>
      <c r="U410" s="1431">
        <v>2023</v>
      </c>
      <c r="V410" s="1432">
        <v>2024</v>
      </c>
    </row>
    <row r="411" spans="1:24" ht="16">
      <c r="C411" s="1433" t="s">
        <v>445</v>
      </c>
      <c r="D411" s="337"/>
      <c r="E411" s="337"/>
      <c r="F411" s="1434"/>
      <c r="G411" s="337"/>
      <c r="H411" s="337"/>
      <c r="I411" s="1435">
        <f t="shared" ref="I411:U411" si="129">I397+I271</f>
        <v>1667541093.3039186</v>
      </c>
      <c r="J411" s="1436">
        <f t="shared" si="129"/>
        <v>1799345977.694562</v>
      </c>
      <c r="K411" s="1436">
        <f t="shared" si="129"/>
        <v>1897485054.604866</v>
      </c>
      <c r="L411" s="1436">
        <f t="shared" si="129"/>
        <v>1772353978.0243294</v>
      </c>
      <c r="M411" s="1436">
        <f t="shared" si="129"/>
        <v>1714953804.1981578</v>
      </c>
      <c r="N411" s="1436">
        <f t="shared" si="129"/>
        <v>1622545984.9452591</v>
      </c>
      <c r="O411" s="1436">
        <f t="shared" si="129"/>
        <v>1696555661.7523577</v>
      </c>
      <c r="P411" s="1436">
        <f t="shared" si="129"/>
        <v>1820913608.221566</v>
      </c>
      <c r="Q411" s="1436">
        <f t="shared" si="129"/>
        <v>1834859173.7453268</v>
      </c>
      <c r="R411" s="1436">
        <f t="shared" si="129"/>
        <v>1650189477.4847047</v>
      </c>
      <c r="S411" s="1436">
        <f t="shared" si="129"/>
        <v>1814838258.8521936</v>
      </c>
      <c r="T411" s="1436">
        <f t="shared" si="129"/>
        <v>2288700821.5520525</v>
      </c>
      <c r="U411" s="1436">
        <f t="shared" si="129"/>
        <v>2683328479.6753874</v>
      </c>
      <c r="V411" s="1437">
        <f>V397+V271</f>
        <v>2546217271.7650943</v>
      </c>
      <c r="X411" s="1301">
        <f>V411/L411-1</f>
        <v>0.43663021232553234</v>
      </c>
    </row>
    <row r="412" spans="1:24" ht="16">
      <c r="A412" s="336" t="s">
        <v>446</v>
      </c>
      <c r="C412" s="1438" t="s">
        <v>447</v>
      </c>
      <c r="D412" s="661"/>
      <c r="E412" s="661"/>
      <c r="F412" s="662"/>
      <c r="G412" s="337"/>
      <c r="H412" s="337"/>
      <c r="I412" s="1439">
        <f>I411/10^6</f>
        <v>1667.5410933039186</v>
      </c>
      <c r="J412" s="1440">
        <f t="shared" ref="J412:P412" si="130">J411/10^6</f>
        <v>1799.345977694562</v>
      </c>
      <c r="K412" s="1440">
        <f t="shared" si="130"/>
        <v>1897.485054604866</v>
      </c>
      <c r="L412" s="1440">
        <f t="shared" si="130"/>
        <v>1772.3539780243295</v>
      </c>
      <c r="M412" s="1440">
        <f t="shared" si="130"/>
        <v>1714.9538041981577</v>
      </c>
      <c r="N412" s="1440">
        <f t="shared" si="130"/>
        <v>1622.5459849452591</v>
      </c>
      <c r="O412" s="1440">
        <f t="shared" si="130"/>
        <v>1696.5556617523578</v>
      </c>
      <c r="P412" s="1440">
        <f t="shared" si="130"/>
        <v>1820.9136082215659</v>
      </c>
      <c r="Q412" s="1440">
        <f t="shared" ref="Q412:V412" si="131">Q411/10^6</f>
        <v>1834.8591737453269</v>
      </c>
      <c r="R412" s="1440">
        <f t="shared" si="131"/>
        <v>1650.1894774847046</v>
      </c>
      <c r="S412" s="1440">
        <f t="shared" si="131"/>
        <v>1814.8382588521936</v>
      </c>
      <c r="T412" s="1440">
        <f t="shared" si="131"/>
        <v>2288.7008215520523</v>
      </c>
      <c r="U412" s="1440">
        <f t="shared" si="131"/>
        <v>2683.3284796753874</v>
      </c>
      <c r="V412" s="1441">
        <f t="shared" si="131"/>
        <v>2546.2172717650942</v>
      </c>
      <c r="X412" s="1301">
        <f>V412/L412-1</f>
        <v>0.43663021232553212</v>
      </c>
    </row>
    <row r="413" spans="1:24" ht="16">
      <c r="C413" s="337"/>
      <c r="D413" s="337"/>
      <c r="E413" s="337"/>
      <c r="F413" s="337"/>
      <c r="G413" s="337"/>
      <c r="H413" s="337"/>
      <c r="I413" s="337"/>
      <c r="J413" s="337"/>
      <c r="K413" s="337"/>
      <c r="L413" s="337"/>
      <c r="M413" s="337"/>
      <c r="N413" s="337"/>
      <c r="O413" s="337"/>
      <c r="P413" s="337"/>
      <c r="Q413" s="337"/>
      <c r="R413" s="337"/>
      <c r="S413" s="337"/>
      <c r="T413" s="337"/>
      <c r="U413" s="337"/>
      <c r="V413" s="337"/>
    </row>
    <row r="414" spans="1:24" ht="16">
      <c r="C414" s="1442" t="s">
        <v>1237</v>
      </c>
      <c r="D414" s="1428"/>
      <c r="E414" s="1428"/>
      <c r="F414" s="1429"/>
      <c r="G414" s="337"/>
      <c r="H414" s="337"/>
      <c r="I414" s="1430">
        <v>2011</v>
      </c>
      <c r="J414" s="1431">
        <v>2012</v>
      </c>
      <c r="K414" s="1431">
        <v>2013</v>
      </c>
      <c r="L414" s="1431">
        <v>2014</v>
      </c>
      <c r="M414" s="1431">
        <v>2015</v>
      </c>
      <c r="N414" s="1431">
        <v>2016</v>
      </c>
      <c r="O414" s="1431">
        <v>2017</v>
      </c>
      <c r="P414" s="1431">
        <v>2018</v>
      </c>
      <c r="Q414" s="1431">
        <v>2019</v>
      </c>
      <c r="R414" s="1431">
        <v>2020</v>
      </c>
      <c r="S414" s="1431">
        <v>2021</v>
      </c>
      <c r="T414" s="1431">
        <v>2022</v>
      </c>
      <c r="U414" s="1431">
        <v>2023</v>
      </c>
      <c r="V414" s="1432">
        <v>2024</v>
      </c>
    </row>
    <row r="415" spans="1:24" ht="16">
      <c r="C415" s="1433" t="s">
        <v>1238</v>
      </c>
      <c r="D415" s="337"/>
      <c r="E415" s="337"/>
      <c r="F415" s="1434"/>
      <c r="G415" s="337"/>
      <c r="H415" s="337"/>
      <c r="I415" s="1443">
        <f t="shared" ref="I415:V415" si="132">I271/I411</f>
        <v>0.6181829189715633</v>
      </c>
      <c r="J415" s="1444">
        <f t="shared" si="132"/>
        <v>0.61276647691076735</v>
      </c>
      <c r="K415" s="1444">
        <f t="shared" si="132"/>
        <v>0.63778901702958102</v>
      </c>
      <c r="L415" s="1444">
        <f t="shared" si="132"/>
        <v>0.63040503234971623</v>
      </c>
      <c r="M415" s="1444">
        <f t="shared" si="132"/>
        <v>0.66461837676432889</v>
      </c>
      <c r="N415" s="1444">
        <f t="shared" si="132"/>
        <v>0.67036047780498664</v>
      </c>
      <c r="O415" s="1444">
        <f t="shared" si="132"/>
        <v>0.65538175730409076</v>
      </c>
      <c r="P415" s="1444">
        <f t="shared" si="132"/>
        <v>0.63275853188223863</v>
      </c>
      <c r="Q415" s="1444">
        <f t="shared" si="132"/>
        <v>0.636840555168665</v>
      </c>
      <c r="R415" s="1444">
        <f t="shared" si="132"/>
        <v>0.67792286590477557</v>
      </c>
      <c r="S415" s="1444">
        <f t="shared" si="132"/>
        <v>0.64411007066564285</v>
      </c>
      <c r="T415" s="1444">
        <f t="shared" si="132"/>
        <v>0.63600915615821552</v>
      </c>
      <c r="U415" s="1444">
        <f t="shared" si="132"/>
        <v>0.69698376043604293</v>
      </c>
      <c r="V415" s="1445">
        <f t="shared" si="132"/>
        <v>0.69171266795388175</v>
      </c>
    </row>
    <row r="416" spans="1:24" ht="16">
      <c r="C416" s="1438" t="s">
        <v>1239</v>
      </c>
      <c r="D416" s="661"/>
      <c r="E416" s="661"/>
      <c r="F416" s="662"/>
      <c r="G416" s="337"/>
      <c r="H416" s="337"/>
      <c r="I416" s="1446">
        <f>I397/I411</f>
        <v>0.38181708102843664</v>
      </c>
      <c r="J416" s="1447">
        <f t="shared" ref="J416:V416" si="133">J397/J411</f>
        <v>0.38723352308923265</v>
      </c>
      <c r="K416" s="1447">
        <f t="shared" si="133"/>
        <v>0.36221098297041904</v>
      </c>
      <c r="L416" s="1447">
        <f t="shared" si="133"/>
        <v>0.36959496765028377</v>
      </c>
      <c r="M416" s="1447">
        <f t="shared" si="133"/>
        <v>0.33538162323567117</v>
      </c>
      <c r="N416" s="1447">
        <f t="shared" si="133"/>
        <v>0.3296395221950133</v>
      </c>
      <c r="O416" s="1447">
        <f t="shared" si="133"/>
        <v>0.34461824269590929</v>
      </c>
      <c r="P416" s="1447">
        <f t="shared" si="133"/>
        <v>0.36724146811776132</v>
      </c>
      <c r="Q416" s="1447">
        <f t="shared" si="133"/>
        <v>0.36315944483133494</v>
      </c>
      <c r="R416" s="1447">
        <f t="shared" si="133"/>
        <v>0.32207713409522437</v>
      </c>
      <c r="S416" s="1447">
        <f t="shared" si="133"/>
        <v>0.35588992933435709</v>
      </c>
      <c r="T416" s="1447">
        <f t="shared" si="133"/>
        <v>0.36399084384178448</v>
      </c>
      <c r="U416" s="1447">
        <f t="shared" si="133"/>
        <v>0.30301623956395712</v>
      </c>
      <c r="V416" s="1448">
        <f t="shared" si="133"/>
        <v>0.30828733204611819</v>
      </c>
      <c r="W416" s="315"/>
    </row>
    <row r="417" spans="1:22" ht="16">
      <c r="C417" s="337"/>
      <c r="D417" s="337"/>
      <c r="E417" s="337"/>
      <c r="F417" s="337"/>
      <c r="G417" s="337"/>
      <c r="H417" s="337"/>
      <c r="I417" s="337"/>
      <c r="J417" s="337"/>
      <c r="K417" s="337"/>
      <c r="L417" s="337"/>
      <c r="M417" s="337"/>
      <c r="N417" s="337"/>
      <c r="O417" s="337"/>
      <c r="P417" s="337"/>
      <c r="Q417" s="337"/>
      <c r="R417" s="337"/>
      <c r="S417" s="337"/>
      <c r="T417" s="337"/>
      <c r="U417" s="337"/>
      <c r="V417" s="337"/>
    </row>
    <row r="418" spans="1:22" ht="15.65" customHeight="1">
      <c r="C418" s="442"/>
    </row>
    <row r="419" spans="1:22" ht="15.65" customHeight="1" thickBot="1">
      <c r="A419" s="15" t="s">
        <v>843</v>
      </c>
      <c r="C419" s="1581" t="s">
        <v>833</v>
      </c>
      <c r="D419" s="1581"/>
      <c r="E419" s="1581"/>
      <c r="F419" s="1581"/>
      <c r="G419" s="1581"/>
      <c r="H419" s="1581"/>
      <c r="I419" s="1581"/>
      <c r="J419" s="1581"/>
    </row>
    <row r="420" spans="1:22" ht="15.65" customHeight="1">
      <c r="C420" s="1026" t="s">
        <v>834</v>
      </c>
      <c r="D420" s="1027">
        <v>2021</v>
      </c>
      <c r="E420" s="1027">
        <v>2025</v>
      </c>
      <c r="F420" s="1027">
        <v>2030</v>
      </c>
      <c r="G420" s="1027">
        <v>2035</v>
      </c>
      <c r="H420" s="1027">
        <v>2040</v>
      </c>
      <c r="I420" s="1027">
        <v>2045</v>
      </c>
      <c r="J420" s="1028">
        <v>2050</v>
      </c>
    </row>
    <row r="421" spans="1:22" ht="15.65" customHeight="1">
      <c r="C421" s="1029" t="s">
        <v>245</v>
      </c>
      <c r="D421" s="1030">
        <f>SUM(D422,D425:D430)</f>
        <v>263.11937636729164</v>
      </c>
      <c r="E421" s="1031">
        <f>SUM(E422,E425:E430)</f>
        <v>247.59893057061842</v>
      </c>
      <c r="F421" s="1031">
        <f>SUM(F422,F425:F430)</f>
        <v>228.81480265790245</v>
      </c>
      <c r="G421" s="1031"/>
      <c r="H421" s="1031"/>
      <c r="I421" s="1031"/>
      <c r="J421" s="1032"/>
    </row>
    <row r="422" spans="1:22" ht="15.65" customHeight="1">
      <c r="C422" s="1033" t="s">
        <v>835</v>
      </c>
      <c r="D422" s="1034">
        <v>75.430694569274451</v>
      </c>
      <c r="E422" s="1035">
        <v>65.390957280069998</v>
      </c>
      <c r="F422" s="1035">
        <v>53.408321129271833</v>
      </c>
      <c r="G422" s="1035"/>
      <c r="H422" s="1035"/>
      <c r="I422" s="1035"/>
      <c r="J422" s="1036"/>
    </row>
    <row r="423" spans="1:22" ht="15.65" customHeight="1">
      <c r="C423" s="1037" t="s">
        <v>836</v>
      </c>
      <c r="D423" s="1034">
        <v>74.616043067926284</v>
      </c>
      <c r="E423" s="1035">
        <v>62.121409416066491</v>
      </c>
      <c r="F423" s="1035">
        <v>45.397072959881058</v>
      </c>
      <c r="G423" s="1035"/>
      <c r="H423" s="1035"/>
      <c r="I423" s="1035"/>
      <c r="J423" s="1036"/>
    </row>
    <row r="424" spans="1:22" ht="15.65" customHeight="1">
      <c r="C424" s="1038" t="s">
        <v>837</v>
      </c>
      <c r="D424" s="1034">
        <v>0.81465150134816411</v>
      </c>
      <c r="E424" s="1035">
        <v>3.2695478640035001</v>
      </c>
      <c r="F424" s="1035">
        <v>8.0112481693907753</v>
      </c>
      <c r="G424" s="1035"/>
      <c r="H424" s="1035"/>
      <c r="I424" s="1035"/>
      <c r="J424" s="1036"/>
    </row>
    <row r="425" spans="1:22" ht="15.65" customHeight="1">
      <c r="C425" s="1033" t="s">
        <v>838</v>
      </c>
      <c r="D425" s="1034">
        <v>31.602421435207759</v>
      </c>
      <c r="E425" s="1035">
        <v>18.909234956146378</v>
      </c>
      <c r="F425" s="1035">
        <v>3.8458130396730921</v>
      </c>
      <c r="G425" s="1035"/>
      <c r="H425" s="1035"/>
      <c r="I425" s="1035"/>
      <c r="J425" s="1036"/>
    </row>
    <row r="426" spans="1:22" ht="15.65" customHeight="1">
      <c r="C426" s="1033" t="s">
        <v>454</v>
      </c>
      <c r="D426" s="1034">
        <v>133.06721434501785</v>
      </c>
      <c r="E426" s="1035">
        <v>127.45830258088461</v>
      </c>
      <c r="F426" s="1035">
        <v>119.27093147176694</v>
      </c>
      <c r="G426" s="1035"/>
      <c r="H426" s="1035"/>
      <c r="I426" s="1035"/>
      <c r="J426" s="1036"/>
    </row>
    <row r="427" spans="1:22" ht="15.65" customHeight="1">
      <c r="C427" s="1039" t="s">
        <v>839</v>
      </c>
      <c r="D427" s="1034">
        <v>0.26</v>
      </c>
      <c r="E427" s="1035">
        <v>0.46</v>
      </c>
      <c r="F427" s="1035">
        <v>0.65</v>
      </c>
      <c r="G427" s="1035"/>
      <c r="H427" s="1035"/>
      <c r="I427" s="1035"/>
      <c r="J427" s="1036"/>
    </row>
    <row r="428" spans="1:22" ht="15.65" customHeight="1">
      <c r="C428" s="1039" t="s">
        <v>408</v>
      </c>
      <c r="D428" s="1034">
        <v>10.47216335629143</v>
      </c>
      <c r="E428" s="1035">
        <v>13.909181073228105</v>
      </c>
      <c r="F428" s="1035">
        <v>18.130268456840959</v>
      </c>
      <c r="G428" s="1035"/>
      <c r="H428" s="1035"/>
      <c r="I428" s="1035"/>
      <c r="J428" s="1036"/>
    </row>
    <row r="429" spans="1:22" ht="15.65" customHeight="1">
      <c r="C429" s="1033" t="s">
        <v>840</v>
      </c>
      <c r="D429" s="1034">
        <v>1.4487805004000003</v>
      </c>
      <c r="E429" s="1035">
        <v>2.0319364984711283</v>
      </c>
      <c r="F429" s="1035">
        <v>2.641744563232169</v>
      </c>
      <c r="G429" s="1035"/>
      <c r="H429" s="1035"/>
      <c r="I429" s="1035"/>
      <c r="J429" s="1036"/>
    </row>
    <row r="430" spans="1:22" ht="15.65" customHeight="1" thickBot="1">
      <c r="C430" s="1040" t="s">
        <v>841</v>
      </c>
      <c r="D430" s="1041">
        <v>10.838102161100197</v>
      </c>
      <c r="E430" s="1042">
        <v>19.439318181818184</v>
      </c>
      <c r="F430" s="1042">
        <v>30.867723997117462</v>
      </c>
      <c r="G430" s="1042"/>
      <c r="H430" s="1042"/>
      <c r="I430" s="1042"/>
      <c r="J430" s="1043"/>
    </row>
    <row r="431" spans="1:22" ht="15.65" customHeight="1">
      <c r="C431" s="1582" t="s">
        <v>842</v>
      </c>
      <c r="D431" s="1582"/>
      <c r="E431" s="1582"/>
      <c r="F431" s="1582"/>
      <c r="G431" s="1582"/>
      <c r="H431" s="1582"/>
      <c r="I431" s="1582"/>
      <c r="J431" s="1582"/>
    </row>
    <row r="432" spans="1:22" ht="15.65" customHeight="1">
      <c r="C432" s="442"/>
    </row>
    <row r="433" spans="1:20" ht="15.65" customHeight="1">
      <c r="C433" s="529" t="s">
        <v>845</v>
      </c>
      <c r="D433" s="64"/>
    </row>
    <row r="434" spans="1:20" ht="15.65" customHeight="1">
      <c r="C434" s="1051" t="s">
        <v>835</v>
      </c>
      <c r="D434" s="1052">
        <f>(F422-D422)/D422</f>
        <v>-0.29195506637921237</v>
      </c>
    </row>
    <row r="435" spans="1:20" ht="15.65" customHeight="1">
      <c r="C435" s="1047" t="s">
        <v>836</v>
      </c>
      <c r="D435" s="1052">
        <f t="shared" ref="D435:D442" si="134">(F423-D423)/D423</f>
        <v>-0.39159098910466084</v>
      </c>
    </row>
    <row r="436" spans="1:20" ht="15.65" customHeight="1">
      <c r="C436" s="1048" t="s">
        <v>846</v>
      </c>
      <c r="D436" s="1052">
        <f>(F424-D424)/D424</f>
        <v>8.8339574113998278</v>
      </c>
    </row>
    <row r="437" spans="1:20" ht="15.65" customHeight="1">
      <c r="C437" s="1046" t="s">
        <v>838</v>
      </c>
      <c r="D437" s="1052">
        <f t="shared" si="134"/>
        <v>-0.87830638080825874</v>
      </c>
    </row>
    <row r="438" spans="1:20" ht="15.65" customHeight="1">
      <c r="C438" s="1046" t="s">
        <v>454</v>
      </c>
      <c r="D438" s="1052">
        <f t="shared" si="134"/>
        <v>-0.10367905378615486</v>
      </c>
    </row>
    <row r="439" spans="1:20" ht="15.65" customHeight="1">
      <c r="C439" s="1049" t="s">
        <v>839</v>
      </c>
      <c r="D439" s="1052">
        <f t="shared" si="134"/>
        <v>1.5</v>
      </c>
    </row>
    <row r="440" spans="1:20" ht="15.65" customHeight="1">
      <c r="C440" s="1049" t="s">
        <v>408</v>
      </c>
      <c r="D440" s="1052">
        <f t="shared" si="134"/>
        <v>0.73128205128205137</v>
      </c>
    </row>
    <row r="441" spans="1:20" ht="15.65" customHeight="1">
      <c r="C441" s="1046" t="s">
        <v>840</v>
      </c>
      <c r="D441" s="1052">
        <f t="shared" si="134"/>
        <v>0.82342636617679343</v>
      </c>
    </row>
    <row r="442" spans="1:20" ht="15.65" customHeight="1" thickBot="1">
      <c r="C442" s="1050" t="s">
        <v>841</v>
      </c>
      <c r="D442" s="1052">
        <f t="shared" si="134"/>
        <v>1.8480746479680734</v>
      </c>
    </row>
    <row r="443" spans="1:20" ht="15.65" customHeight="1">
      <c r="C443" s="442"/>
    </row>
    <row r="444" spans="1:20" ht="15.65" customHeight="1">
      <c r="C444" s="449" t="s">
        <v>1249</v>
      </c>
    </row>
    <row r="445" spans="1:20" ht="15.65" customHeight="1">
      <c r="A445" t="s">
        <v>1250</v>
      </c>
      <c r="C445" s="511" t="s">
        <v>336</v>
      </c>
      <c r="D445" s="512"/>
      <c r="E445" s="475"/>
      <c r="F445" s="476"/>
      <c r="G445" s="344">
        <v>2011</v>
      </c>
      <c r="H445" s="345">
        <v>2012</v>
      </c>
      <c r="I445" s="345">
        <v>2013</v>
      </c>
      <c r="J445" s="345">
        <v>2014</v>
      </c>
      <c r="K445" s="345">
        <v>2015</v>
      </c>
      <c r="L445" s="345">
        <v>2016</v>
      </c>
      <c r="M445" s="345">
        <v>2017</v>
      </c>
      <c r="N445" s="345">
        <v>2018</v>
      </c>
      <c r="O445" s="345">
        <v>2019</v>
      </c>
      <c r="P445" s="345">
        <v>2020</v>
      </c>
      <c r="Q445" s="345">
        <v>2021</v>
      </c>
      <c r="R445" s="345">
        <v>2022</v>
      </c>
      <c r="S445" s="346">
        <v>2023</v>
      </c>
      <c r="T445" s="346">
        <v>2024</v>
      </c>
    </row>
    <row r="446" spans="1:20" ht="15.65" customHeight="1">
      <c r="C446" s="582" t="s">
        <v>341</v>
      </c>
      <c r="D446" s="512"/>
      <c r="E446" s="475"/>
      <c r="F446" s="476" t="s">
        <v>503</v>
      </c>
      <c r="G446" s="579">
        <v>1153085358.1243534</v>
      </c>
      <c r="H446" s="580">
        <v>1223938718.0244784</v>
      </c>
      <c r="I446" s="580">
        <v>1328574527.5028605</v>
      </c>
      <c r="J446" s="580">
        <v>1173895269.2711358</v>
      </c>
      <c r="K446" s="580">
        <v>1221760923.1981277</v>
      </c>
      <c r="L446" s="580">
        <v>1201437211.902519</v>
      </c>
      <c r="M446" s="580">
        <v>1256054948.1283584</v>
      </c>
      <c r="N446" s="580">
        <v>1250567338.3578963</v>
      </c>
      <c r="O446" s="580">
        <v>1281155010.312408</v>
      </c>
      <c r="P446" s="580">
        <v>1221387105.0332799</v>
      </c>
      <c r="Q446" s="1055">
        <v>1276363554.0784986</v>
      </c>
      <c r="R446" s="580">
        <v>1674104680.0659182</v>
      </c>
      <c r="S446" s="581">
        <v>2027646992.6461322</v>
      </c>
    </row>
    <row r="447" spans="1:20" ht="15.65" customHeight="1">
      <c r="C447" s="187" t="s">
        <v>497</v>
      </c>
      <c r="D447" s="498"/>
      <c r="E447" s="96"/>
      <c r="F447" s="189" t="s">
        <v>504</v>
      </c>
      <c r="G447" s="583">
        <v>15772798.159439705</v>
      </c>
      <c r="H447" s="583">
        <v>16395122.535902116</v>
      </c>
      <c r="I447" s="583">
        <v>16820871.980671704</v>
      </c>
      <c r="J447" s="583">
        <v>15102048.262181412</v>
      </c>
      <c r="K447" s="583">
        <v>14917175.604831621</v>
      </c>
      <c r="L447" s="583">
        <v>15177986.855944145</v>
      </c>
      <c r="M447" s="583">
        <v>15054705.709248854</v>
      </c>
      <c r="N447" s="583">
        <v>15485818.730843069</v>
      </c>
      <c r="O447" s="583">
        <v>14667128.717353728</v>
      </c>
      <c r="P447" s="583">
        <v>13978314.320107574</v>
      </c>
      <c r="Q447" s="583">
        <v>14302623.268211935</v>
      </c>
      <c r="R447" s="583">
        <v>15613672.292947475</v>
      </c>
      <c r="S447" s="583">
        <v>11383065.789781887</v>
      </c>
      <c r="T447" s="584">
        <v>13176232.111081226</v>
      </c>
    </row>
    <row r="448" spans="1:20" ht="15.65" customHeight="1">
      <c r="C448" s="187" t="s">
        <v>498</v>
      </c>
      <c r="D448" s="498"/>
      <c r="E448" s="96"/>
      <c r="F448" s="189" t="s">
        <v>505</v>
      </c>
      <c r="G448" s="583">
        <v>17913887.590734318</v>
      </c>
      <c r="H448" s="583">
        <v>17978713.974228896</v>
      </c>
      <c r="I448" s="583">
        <v>19770956.600074071</v>
      </c>
      <c r="J448" s="583">
        <v>19443364.074059099</v>
      </c>
      <c r="K448" s="583">
        <v>20626555.679473501</v>
      </c>
      <c r="L448" s="583">
        <v>20950838.466924418</v>
      </c>
      <c r="M448" s="583">
        <v>22246108.879844382</v>
      </c>
      <c r="N448" s="583">
        <v>21066894.47591326</v>
      </c>
      <c r="O448" s="583">
        <v>21367094.476022646</v>
      </c>
      <c r="P448" s="583">
        <v>22187207.455867764</v>
      </c>
      <c r="Q448" s="583">
        <v>18939230.266573973</v>
      </c>
      <c r="R448" s="583">
        <v>14928020.619508469</v>
      </c>
      <c r="S448" s="583">
        <v>16140350.649476916</v>
      </c>
      <c r="T448" s="584">
        <v>17790205.003789138</v>
      </c>
    </row>
    <row r="449" spans="1:20" ht="15.65" customHeight="1">
      <c r="C449" s="187" t="s">
        <v>499</v>
      </c>
      <c r="D449" s="498"/>
      <c r="E449" s="96"/>
      <c r="F449" s="189" t="s">
        <v>516</v>
      </c>
      <c r="G449" s="583">
        <v>179698536.0599674</v>
      </c>
      <c r="H449" s="583">
        <v>173713559.79816681</v>
      </c>
      <c r="I449" s="583">
        <v>201711174.66269702</v>
      </c>
      <c r="J449" s="583">
        <v>209522789.99201882</v>
      </c>
      <c r="K449" s="583">
        <v>267527773.60139608</v>
      </c>
      <c r="L449" s="583">
        <v>288417428.90496469</v>
      </c>
      <c r="M449" s="583">
        <v>252873548.16539955</v>
      </c>
      <c r="N449" s="583">
        <v>209222984.87745005</v>
      </c>
      <c r="O449" s="583">
        <v>207125874.62780482</v>
      </c>
      <c r="P449" s="583">
        <v>249802494.5009951</v>
      </c>
      <c r="Q449" s="583">
        <v>218216380.95421863</v>
      </c>
      <c r="R449" s="583">
        <v>164218946.1481528</v>
      </c>
      <c r="S449" s="583">
        <v>250458754.71954149</v>
      </c>
      <c r="T449" s="584">
        <v>250868895.78110951</v>
      </c>
    </row>
    <row r="450" spans="1:20" ht="15.65" customHeight="1">
      <c r="C450" s="187" t="s">
        <v>500</v>
      </c>
      <c r="D450" s="498"/>
      <c r="E450" s="96"/>
      <c r="F450" s="189" t="s">
        <v>504</v>
      </c>
      <c r="G450" s="583">
        <v>2471103.9945969395</v>
      </c>
      <c r="H450" s="583">
        <v>2438667.1097083543</v>
      </c>
      <c r="I450" s="583">
        <v>2645987.5922796982</v>
      </c>
      <c r="J450" s="583">
        <v>2505106.0180667127</v>
      </c>
      <c r="K450" s="583">
        <v>2619574.253745527</v>
      </c>
      <c r="L450" s="583">
        <v>2503386.7501018783</v>
      </c>
      <c r="M450" s="583">
        <v>2502994.0504317847</v>
      </c>
      <c r="N450" s="583">
        <v>2420152.9571801797</v>
      </c>
      <c r="O450" s="583">
        <v>2466918.2318286644</v>
      </c>
      <c r="P450" s="583">
        <v>2471955.5872448231</v>
      </c>
      <c r="Q450" s="583">
        <v>2375443.6825869223</v>
      </c>
      <c r="R450" s="583">
        <v>2382539.976825064</v>
      </c>
      <c r="S450" s="583">
        <v>2895865.8397419229</v>
      </c>
      <c r="T450" s="583">
        <v>2730362.2654940882</v>
      </c>
    </row>
    <row r="451" spans="1:20" ht="15.65" customHeight="1">
      <c r="C451" s="188" t="s">
        <v>501</v>
      </c>
      <c r="D451" s="514"/>
      <c r="E451" s="478"/>
      <c r="F451" s="479" t="s">
        <v>504</v>
      </c>
      <c r="G451" s="589" t="e">
        <v>#DIV/0!</v>
      </c>
      <c r="H451" s="589">
        <v>2466459.2236028183</v>
      </c>
      <c r="I451" s="589">
        <v>2463866.3068687245</v>
      </c>
      <c r="J451" s="589">
        <v>2224308.3356822217</v>
      </c>
      <c r="K451" s="589">
        <v>2275694.2188911699</v>
      </c>
      <c r="L451" s="589">
        <v>2184973.3522599023</v>
      </c>
      <c r="M451" s="589">
        <v>2247087.8607002404</v>
      </c>
      <c r="N451" s="589">
        <v>2329691.6813372192</v>
      </c>
      <c r="O451" s="589">
        <v>2275900.1565005956</v>
      </c>
      <c r="P451" s="589">
        <v>2259185.5693898774</v>
      </c>
      <c r="Q451" s="589">
        <v>2393192.562665238</v>
      </c>
      <c r="R451" s="589">
        <v>2410237.8785990989</v>
      </c>
      <c r="S451" s="1365">
        <v>2982230.1016504602</v>
      </c>
      <c r="T451" s="589">
        <v>2748522.5649214815</v>
      </c>
    </row>
    <row r="452" spans="1:20" ht="15.65" customHeight="1"/>
    <row r="453" spans="1:20" ht="15.65" customHeight="1">
      <c r="C453" s="442" t="s">
        <v>847</v>
      </c>
    </row>
    <row r="454" spans="1:20" ht="15.65" customHeight="1">
      <c r="C454" s="511" t="s">
        <v>336</v>
      </c>
      <c r="D454" s="512"/>
      <c r="E454" s="475"/>
      <c r="F454" s="476"/>
      <c r="G454" s="344">
        <v>2011</v>
      </c>
      <c r="H454" s="345">
        <v>2012</v>
      </c>
      <c r="I454" s="345">
        <v>2013</v>
      </c>
      <c r="J454" s="345">
        <v>2014</v>
      </c>
      <c r="K454" s="345">
        <v>2015</v>
      </c>
      <c r="L454" s="345">
        <v>2016</v>
      </c>
      <c r="M454" s="345">
        <v>2017</v>
      </c>
      <c r="N454" s="345">
        <v>2018</v>
      </c>
      <c r="O454" s="345">
        <v>2019</v>
      </c>
      <c r="P454" s="345">
        <v>2020</v>
      </c>
      <c r="Q454" s="345">
        <v>2021</v>
      </c>
      <c r="R454" s="345">
        <v>2022</v>
      </c>
      <c r="S454" s="346">
        <v>2023</v>
      </c>
      <c r="T454" s="346">
        <v>2023</v>
      </c>
    </row>
    <row r="455" spans="1:20" ht="15.65" customHeight="1">
      <c r="C455" s="582" t="s">
        <v>341</v>
      </c>
      <c r="D455" s="512"/>
      <c r="E455" s="475"/>
      <c r="F455" s="476" t="s">
        <v>503</v>
      </c>
      <c r="G455" s="579">
        <v>1153085358.1243534</v>
      </c>
      <c r="H455" s="580">
        <v>1223938718.0244784</v>
      </c>
      <c r="I455" s="580">
        <v>1328574527.5028605</v>
      </c>
      <c r="J455" s="580">
        <v>1173895269.2711358</v>
      </c>
      <c r="K455" s="580">
        <v>1221760923.1981277</v>
      </c>
      <c r="L455" s="580">
        <v>1201437211.902519</v>
      </c>
      <c r="M455" s="580">
        <v>1256054948.1283584</v>
      </c>
      <c r="N455" s="580">
        <v>1250567338.3578963</v>
      </c>
      <c r="O455" s="580">
        <v>1281155010.312408</v>
      </c>
      <c r="P455" s="580">
        <v>1221387105.0332799</v>
      </c>
      <c r="Q455" s="1055"/>
      <c r="R455" s="580">
        <v>1674104680.0659182</v>
      </c>
      <c r="S455" s="581">
        <v>2027646992.6461322</v>
      </c>
    </row>
    <row r="456" spans="1:20" ht="15.65" customHeight="1">
      <c r="C456" s="187" t="s">
        <v>497</v>
      </c>
      <c r="D456" s="498"/>
      <c r="E456" s="96"/>
      <c r="F456" s="189" t="s">
        <v>848</v>
      </c>
      <c r="G456" s="583">
        <f>G447/10^6</f>
        <v>15.772798159439706</v>
      </c>
      <c r="H456" s="583">
        <f t="shared" ref="H456:T456" si="135">H447/10^6</f>
        <v>16.395122535902118</v>
      </c>
      <c r="I456" s="583">
        <f t="shared" si="135"/>
        <v>16.820871980671704</v>
      </c>
      <c r="J456" s="583">
        <f t="shared" si="135"/>
        <v>15.102048262181412</v>
      </c>
      <c r="K456" s="583">
        <f t="shared" si="135"/>
        <v>14.917175604831622</v>
      </c>
      <c r="L456" s="583">
        <f t="shared" si="135"/>
        <v>15.177986855944145</v>
      </c>
      <c r="M456" s="583">
        <f t="shared" si="135"/>
        <v>15.054705709248854</v>
      </c>
      <c r="N456" s="583">
        <f t="shared" si="135"/>
        <v>15.48581873084307</v>
      </c>
      <c r="O456" s="583">
        <f t="shared" si="135"/>
        <v>14.667128717353728</v>
      </c>
      <c r="P456" s="583">
        <f t="shared" si="135"/>
        <v>13.978314320107573</v>
      </c>
      <c r="Q456" s="1053">
        <f t="shared" si="135"/>
        <v>14.302623268211935</v>
      </c>
      <c r="R456" s="583">
        <f t="shared" si="135"/>
        <v>15.613672292947475</v>
      </c>
      <c r="S456" s="583">
        <f t="shared" si="135"/>
        <v>11.383065789781886</v>
      </c>
      <c r="T456" s="583">
        <f t="shared" si="135"/>
        <v>13.176232111081227</v>
      </c>
    </row>
    <row r="457" spans="1:20" ht="15.65" customHeight="1">
      <c r="C457" s="187" t="s">
        <v>498</v>
      </c>
      <c r="D457" s="498"/>
      <c r="E457" s="96"/>
      <c r="F457" s="189" t="s">
        <v>849</v>
      </c>
      <c r="G457" s="583">
        <f>G448/10^6</f>
        <v>17.913887590734319</v>
      </c>
      <c r="H457" s="583">
        <f t="shared" ref="H457:T457" si="136">H448/10^6</f>
        <v>17.978713974228896</v>
      </c>
      <c r="I457" s="583">
        <f t="shared" si="136"/>
        <v>19.770956600074072</v>
      </c>
      <c r="J457" s="583">
        <f t="shared" si="136"/>
        <v>19.443364074059097</v>
      </c>
      <c r="K457" s="583">
        <f t="shared" si="136"/>
        <v>20.626555679473501</v>
      </c>
      <c r="L457" s="583">
        <f t="shared" si="136"/>
        <v>20.950838466924417</v>
      </c>
      <c r="M457" s="583">
        <f t="shared" si="136"/>
        <v>22.246108879844382</v>
      </c>
      <c r="N457" s="583">
        <f t="shared" si="136"/>
        <v>21.066894475913259</v>
      </c>
      <c r="O457" s="583">
        <f t="shared" si="136"/>
        <v>21.367094476022647</v>
      </c>
      <c r="P457" s="583">
        <f t="shared" si="136"/>
        <v>22.187207455867764</v>
      </c>
      <c r="Q457" s="1053">
        <f t="shared" si="136"/>
        <v>18.939230266573972</v>
      </c>
      <c r="R457" s="583">
        <f t="shared" si="136"/>
        <v>14.928020619508469</v>
      </c>
      <c r="S457" s="583">
        <f t="shared" si="136"/>
        <v>16.140350649476915</v>
      </c>
      <c r="T457" s="583">
        <f t="shared" si="136"/>
        <v>17.790205003789136</v>
      </c>
    </row>
    <row r="458" spans="1:20" ht="15.65" customHeight="1">
      <c r="C458" s="1109" t="s">
        <v>499</v>
      </c>
      <c r="D458" s="1110"/>
      <c r="E458" s="463"/>
      <c r="F458" s="1111" t="s">
        <v>848</v>
      </c>
      <c r="G458" s="1113">
        <f>G449/10^8</f>
        <v>1.796985360599674</v>
      </c>
      <c r="H458" s="1112">
        <f t="shared" ref="H458:T458" si="137">H449/10^8</f>
        <v>1.7371355979816681</v>
      </c>
      <c r="I458" s="1112">
        <f t="shared" si="137"/>
        <v>2.0171117466269703</v>
      </c>
      <c r="J458" s="1112">
        <f t="shared" si="137"/>
        <v>2.0952278999201881</v>
      </c>
      <c r="K458" s="1112">
        <f t="shared" si="137"/>
        <v>2.6752777360139608</v>
      </c>
      <c r="L458" s="1112">
        <f t="shared" si="137"/>
        <v>2.8841742890496467</v>
      </c>
      <c r="M458" s="1112">
        <f t="shared" si="137"/>
        <v>2.5287354816539955</v>
      </c>
      <c r="N458" s="1112">
        <f t="shared" si="137"/>
        <v>2.0922298487745006</v>
      </c>
      <c r="O458" s="1112">
        <f t="shared" si="137"/>
        <v>2.0712587462780481</v>
      </c>
      <c r="P458" s="1112">
        <f t="shared" si="137"/>
        <v>2.4980249450099512</v>
      </c>
      <c r="Q458" s="1112">
        <f t="shared" si="137"/>
        <v>2.1821638095421863</v>
      </c>
      <c r="R458" s="1112">
        <f t="shared" si="137"/>
        <v>1.642189461481528</v>
      </c>
      <c r="S458" s="1112">
        <f t="shared" si="137"/>
        <v>2.5045875471954151</v>
      </c>
      <c r="T458" s="1112">
        <f t="shared" si="137"/>
        <v>2.5086889578110951</v>
      </c>
    </row>
    <row r="459" spans="1:20" ht="15.65" customHeight="1">
      <c r="C459" s="187" t="s">
        <v>500</v>
      </c>
      <c r="D459" s="498"/>
      <c r="E459" s="96"/>
      <c r="F459" s="189" t="s">
        <v>848</v>
      </c>
      <c r="G459" s="583">
        <f>G450/10^6</f>
        <v>2.4711039945969397</v>
      </c>
      <c r="H459" s="583">
        <f t="shared" ref="H459:T459" si="138">H450/10^6</f>
        <v>2.4386671097083545</v>
      </c>
      <c r="I459" s="583">
        <f t="shared" si="138"/>
        <v>2.645987592279698</v>
      </c>
      <c r="J459" s="583">
        <f t="shared" si="138"/>
        <v>2.5051060180667126</v>
      </c>
      <c r="K459" s="583">
        <f t="shared" si="138"/>
        <v>2.6195742537455269</v>
      </c>
      <c r="L459" s="583">
        <f t="shared" si="138"/>
        <v>2.5033867501018783</v>
      </c>
      <c r="M459" s="583">
        <f t="shared" si="138"/>
        <v>2.5029940504317847</v>
      </c>
      <c r="N459" s="583">
        <f t="shared" si="138"/>
        <v>2.4201529571801799</v>
      </c>
      <c r="O459" s="583">
        <f t="shared" si="138"/>
        <v>2.4669182318286644</v>
      </c>
      <c r="P459" s="583">
        <f t="shared" si="138"/>
        <v>2.4719555872448229</v>
      </c>
      <c r="Q459" s="583">
        <f t="shared" si="138"/>
        <v>2.3754436825869223</v>
      </c>
      <c r="R459" s="583">
        <f t="shared" si="138"/>
        <v>2.3825399768250639</v>
      </c>
      <c r="S459" s="583">
        <f t="shared" si="138"/>
        <v>2.8958658397419228</v>
      </c>
      <c r="T459" s="583">
        <f t="shared" si="138"/>
        <v>2.730362265494088</v>
      </c>
    </row>
    <row r="460" spans="1:20" ht="15.65" customHeight="1">
      <c r="C460" s="188" t="s">
        <v>501</v>
      </c>
      <c r="D460" s="514"/>
      <c r="E460" s="478"/>
      <c r="F460" s="479" t="s">
        <v>506</v>
      </c>
      <c r="G460" s="589" t="e">
        <v>#DIV/0!</v>
      </c>
      <c r="H460" s="589" t="e">
        <v>#DIV/0!</v>
      </c>
      <c r="I460" s="589" t="e">
        <v>#DIV/0!</v>
      </c>
      <c r="J460" s="589">
        <v>680822.907101174</v>
      </c>
      <c r="K460" s="589">
        <v>743480.3030276082</v>
      </c>
      <c r="L460" s="589">
        <v>729919.19258120586</v>
      </c>
      <c r="M460" s="589">
        <v>736301.9378778378</v>
      </c>
      <c r="N460" s="589">
        <v>721822.87344890554</v>
      </c>
      <c r="O460" s="589">
        <v>768014.83320478816</v>
      </c>
      <c r="P460" s="589" t="e">
        <v>#DIV/0!</v>
      </c>
      <c r="Q460" s="1054" t="e">
        <v>#DIV/0!</v>
      </c>
      <c r="R460" s="589" t="e">
        <v>#DIV/0!</v>
      </c>
      <c r="S460" s="590" t="e">
        <v>#DIV/0!</v>
      </c>
    </row>
    <row r="461" spans="1:20" ht="15.65" customHeight="1">
      <c r="A461" s="120" t="s">
        <v>851</v>
      </c>
      <c r="C461" s="1056" t="s">
        <v>850</v>
      </c>
    </row>
    <row r="462" spans="1:20" ht="15.65" customHeight="1">
      <c r="C462" s="442"/>
    </row>
    <row r="463" spans="1:20" ht="15.65" customHeight="1">
      <c r="C463" s="526" t="s">
        <v>1230</v>
      </c>
    </row>
    <row r="464" spans="1:20" ht="15.65" customHeight="1">
      <c r="C464" s="442"/>
      <c r="G464" s="1410">
        <v>2021</v>
      </c>
      <c r="H464" s="1411">
        <v>2024</v>
      </c>
      <c r="I464" s="1411" t="s">
        <v>864</v>
      </c>
      <c r="J464" s="1411" t="s">
        <v>865</v>
      </c>
      <c r="K464" s="1412" t="s">
        <v>1231</v>
      </c>
    </row>
    <row r="465" spans="3:16" ht="15.65" customHeight="1">
      <c r="C465" s="1108" t="s">
        <v>497</v>
      </c>
      <c r="D465" s="512"/>
      <c r="E465" s="475"/>
      <c r="F465" s="475" t="s">
        <v>848</v>
      </c>
      <c r="G465" s="426">
        <f>Q456</f>
        <v>14.302623268211935</v>
      </c>
      <c r="H465" s="427">
        <f>T456</f>
        <v>13.176232111081227</v>
      </c>
      <c r="I465" s="335"/>
      <c r="J465" s="335">
        <f>G465+D438*G465</f>
        <v>12.819740821103879</v>
      </c>
      <c r="K465" s="1231">
        <f>-(H465-J465)/H465</f>
        <v>-2.7055632215034944E-2</v>
      </c>
    </row>
    <row r="466" spans="3:16" ht="15.65" customHeight="1">
      <c r="C466" s="187" t="s">
        <v>498</v>
      </c>
      <c r="D466" s="498"/>
      <c r="E466" s="96"/>
      <c r="F466" s="96" t="s">
        <v>849</v>
      </c>
      <c r="G466" s="71">
        <f>Q457</f>
        <v>18.939230266573972</v>
      </c>
      <c r="H466">
        <f>T457</f>
        <v>17.790205003789136</v>
      </c>
      <c r="J466">
        <f>G466+D434*G466</f>
        <v>13.40982603692518</v>
      </c>
      <c r="K466" s="1368">
        <f>-(H466-J466)/H466</f>
        <v>-0.2462241984244127</v>
      </c>
    </row>
    <row r="467" spans="3:16" ht="15.65" customHeight="1">
      <c r="C467" s="187" t="s">
        <v>499</v>
      </c>
      <c r="D467" s="498"/>
      <c r="E467" s="96"/>
      <c r="F467" s="96" t="s">
        <v>848</v>
      </c>
      <c r="G467" s="71">
        <f>Q458</f>
        <v>2.1821638095421863</v>
      </c>
      <c r="H467">
        <f>T458</f>
        <v>2.5086889578110951</v>
      </c>
      <c r="J467">
        <f>G467+D437*G467</f>
        <v>0.26555541165242613</v>
      </c>
      <c r="K467" s="1368">
        <f>-(H467-J467)/H467</f>
        <v>-0.89414574061659235</v>
      </c>
    </row>
    <row r="468" spans="3:16" ht="15.65" customHeight="1">
      <c r="C468" s="187" t="s">
        <v>500</v>
      </c>
      <c r="D468" s="498"/>
      <c r="E468" s="96"/>
      <c r="F468" s="96" t="s">
        <v>848</v>
      </c>
      <c r="G468" s="71">
        <f>Q459</f>
        <v>2.3754436825869223</v>
      </c>
      <c r="H468">
        <f>T459</f>
        <v>2.730362265494088</v>
      </c>
      <c r="J468">
        <f>G468+D440*G468</f>
        <v>4.1125630114940765</v>
      </c>
      <c r="K468" s="1368">
        <f>-(H468-J468)/H468</f>
        <v>0.50623346340082265</v>
      </c>
    </row>
    <row r="469" spans="3:16" ht="15.65" customHeight="1">
      <c r="C469" s="188" t="s">
        <v>501</v>
      </c>
      <c r="D469" s="514"/>
      <c r="E469" s="478"/>
      <c r="F469" s="478" t="s">
        <v>506</v>
      </c>
      <c r="G469" s="91" t="e">
        <f>Q460</f>
        <v>#DIV/0!</v>
      </c>
      <c r="H469" s="92" t="e">
        <f>S460</f>
        <v>#DIV/0!</v>
      </c>
      <c r="I469" s="92"/>
      <c r="J469" s="92"/>
      <c r="K469" s="838" t="e">
        <f>-(H469-J469)/H469</f>
        <v>#DIV/0!</v>
      </c>
    </row>
    <row r="470" spans="3:16" ht="15.65" customHeight="1">
      <c r="C470" s="442"/>
    </row>
    <row r="471" spans="3:16" ht="15.65" customHeight="1">
      <c r="C471" s="449" t="s">
        <v>1232</v>
      </c>
    </row>
    <row r="472" spans="3:16" ht="15.65" customHeight="1">
      <c r="C472" s="1449" t="s">
        <v>869</v>
      </c>
      <c r="D472" s="1450" t="s">
        <v>1167</v>
      </c>
      <c r="E472" s="1450" t="s">
        <v>1167</v>
      </c>
      <c r="F472" s="1450" t="s">
        <v>1171</v>
      </c>
      <c r="G472" s="1451" t="s">
        <v>1168</v>
      </c>
      <c r="H472" s="80"/>
      <c r="I472" s="154">
        <v>2024</v>
      </c>
      <c r="J472" s="155">
        <v>2025</v>
      </c>
      <c r="K472" s="155">
        <v>2026</v>
      </c>
      <c r="L472" s="155">
        <v>2027</v>
      </c>
      <c r="M472" s="155">
        <v>2028</v>
      </c>
      <c r="N472" s="155">
        <v>2029</v>
      </c>
      <c r="O472" s="302">
        <v>2030</v>
      </c>
    </row>
    <row r="473" spans="3:16" ht="15.65" customHeight="1">
      <c r="C473" s="1120" t="s">
        <v>420</v>
      </c>
      <c r="D473" s="70">
        <f>V207+V220+V233+V246+V259</f>
        <v>2671151654.7189412</v>
      </c>
      <c r="E473" s="70">
        <f>V207+V220+V233+V246+V259</f>
        <v>2671151654.7189412</v>
      </c>
      <c r="F473" s="70">
        <f>D473+K465*D473</f>
        <v>2598881957.9582834</v>
      </c>
      <c r="G473" s="1121">
        <f>-(E473-F473)</f>
        <v>-72269696.760657787</v>
      </c>
      <c r="H473" s="322"/>
      <c r="I473" s="1369">
        <f>E473/10^6</f>
        <v>2671.1516547189412</v>
      </c>
      <c r="J473" s="1224">
        <f>I473+($I$473-$O$473)/($I$472-$O$472)</f>
        <v>2659.1067052588314</v>
      </c>
      <c r="K473" s="1224">
        <f>J473+($I$473-$O$473)/($I$472-$O$472)</f>
        <v>2647.0617557987216</v>
      </c>
      <c r="L473" s="1224">
        <f>K473+($I$473-$O$473)/($I$472-$O$472)</f>
        <v>2635.0168063386118</v>
      </c>
      <c r="M473" s="1224">
        <f>L473+($I$473-$O$473)/($I$472-$O$472)</f>
        <v>2622.971856878502</v>
      </c>
      <c r="N473" s="1224">
        <f>M473+($I$473-$O$473)/($I$472-$O$472)</f>
        <v>2610.9269074183921</v>
      </c>
      <c r="O473" s="29">
        <f>F473/10^6</f>
        <v>2598.8819579582832</v>
      </c>
      <c r="P473" s="1226"/>
    </row>
    <row r="474" spans="3:16" ht="15.65" customHeight="1">
      <c r="C474" s="527" t="s">
        <v>193</v>
      </c>
      <c r="D474">
        <f>V208+V221+V234+V247+V260</f>
        <v>1312144672.4935153</v>
      </c>
      <c r="E474">
        <f>V208+V221+V234+V247+V260</f>
        <v>1312144672.4935153</v>
      </c>
      <c r="F474">
        <f>D474+K466*D474</f>
        <v>989062902.29193592</v>
      </c>
      <c r="G474" s="425">
        <f>-(E474-F474)</f>
        <v>-323081770.20157933</v>
      </c>
      <c r="H474" s="322"/>
      <c r="I474" s="1225">
        <f>E474/10^6</f>
        <v>1312.1446724935151</v>
      </c>
      <c r="J474" s="1226">
        <f>I474+($I$474-$O$474)/($I$472-$O$472)</f>
        <v>1258.297710793252</v>
      </c>
      <c r="K474" s="1226">
        <f>J474+($I$474-$O$474)/($I$472-$O$472)</f>
        <v>1204.4507490929889</v>
      </c>
      <c r="L474" s="1226">
        <f>K474+($I$474-$O$474)/($I$472-$O$472)</f>
        <v>1150.6037873927257</v>
      </c>
      <c r="M474" s="1226">
        <f>L474+($I$474-$O$474)/($I$472-$O$472)</f>
        <v>1096.7568256924626</v>
      </c>
      <c r="N474" s="1226">
        <f>M474+($I$474-$O$474)/($I$472-$O$472)</f>
        <v>1042.9098639921995</v>
      </c>
      <c r="O474" s="31">
        <f>F474/10^6</f>
        <v>989.06290229193587</v>
      </c>
    </row>
    <row r="475" spans="3:16" ht="15.65" customHeight="1">
      <c r="C475" s="527" t="s">
        <v>421</v>
      </c>
      <c r="D475">
        <f>V209+V222+V235+V248+V261</f>
        <v>281173858.39146751</v>
      </c>
      <c r="E475">
        <f>V209+V222+V235+V248+V261</f>
        <v>281173858.39146751</v>
      </c>
      <c r="F475">
        <f>D475+K467*D475</f>
        <v>29763450.538003922</v>
      </c>
      <c r="G475" s="425">
        <f>-(E475-F475)</f>
        <v>-251410407.85346359</v>
      </c>
      <c r="I475" s="1227">
        <f>E475/10^6</f>
        <v>281.17385839146749</v>
      </c>
      <c r="J475" s="1228">
        <f>I475+($I$475-$O$475)/($I$472-$O$472)</f>
        <v>239.27212374922357</v>
      </c>
      <c r="K475" s="1228">
        <f>J475+($I$475-$O$475)/($I$472-$O$472)</f>
        <v>197.37038910697964</v>
      </c>
      <c r="L475" s="1228">
        <f>K475+($I$475-$O$475)/($I$472-$O$472)</f>
        <v>155.46865446473572</v>
      </c>
      <c r="M475" s="1228">
        <f>L475+($I$475-$O$475)/($I$472-$O$472)</f>
        <v>113.5669198224918</v>
      </c>
      <c r="N475" s="1228">
        <f>M475+($I$475-$O$475)/($I$472-$O$472)</f>
        <v>71.665185180247875</v>
      </c>
      <c r="O475" s="33">
        <f>F475/10^6</f>
        <v>29.763450538003923</v>
      </c>
    </row>
    <row r="476" spans="3:16" ht="15.65" customHeight="1">
      <c r="C476" s="527" t="s">
        <v>1169</v>
      </c>
      <c r="D476">
        <f>D475+D474</f>
        <v>1593318530.8849828</v>
      </c>
      <c r="E476">
        <f>E475+E474</f>
        <v>1593318530.8849828</v>
      </c>
      <c r="F476">
        <f>F475+F474</f>
        <v>1018826352.8299398</v>
      </c>
      <c r="G476" s="425">
        <f>G475+G474</f>
        <v>-574492178.05504298</v>
      </c>
    </row>
    <row r="477" spans="3:16" ht="15.65" customHeight="1">
      <c r="C477" s="528" t="s">
        <v>1170</v>
      </c>
      <c r="D477" s="92"/>
      <c r="E477" s="92"/>
      <c r="F477" s="92"/>
      <c r="G477" s="430">
        <f>G476+G473</f>
        <v>-646761874.81570077</v>
      </c>
    </row>
    <row r="478" spans="3:16" ht="15.65" customHeight="1">
      <c r="C478" s="442"/>
      <c r="H478" s="80"/>
      <c r="I478" s="156">
        <v>2024</v>
      </c>
      <c r="J478" s="157">
        <v>2025</v>
      </c>
      <c r="K478" s="157">
        <v>2026</v>
      </c>
      <c r="L478" s="157">
        <v>2027</v>
      </c>
      <c r="M478" s="157">
        <v>2028</v>
      </c>
      <c r="N478" s="157">
        <v>2029</v>
      </c>
      <c r="O478" s="451">
        <v>2030</v>
      </c>
    </row>
    <row r="479" spans="3:16" ht="15.65" customHeight="1">
      <c r="C479" s="442"/>
      <c r="I479" s="69"/>
      <c r="J479" s="70">
        <f t="shared" ref="J479:O479" si="139">J473-$I$473</f>
        <v>-12.044949460109819</v>
      </c>
      <c r="K479" s="70">
        <f t="shared" si="139"/>
        <v>-24.089898920219639</v>
      </c>
      <c r="L479" s="70">
        <f t="shared" si="139"/>
        <v>-36.134848380329458</v>
      </c>
      <c r="M479" s="70">
        <f t="shared" si="139"/>
        <v>-48.179797840439278</v>
      </c>
      <c r="N479" s="70">
        <f t="shared" si="139"/>
        <v>-60.224747300549097</v>
      </c>
      <c r="O479" s="29">
        <f t="shared" si="139"/>
        <v>-72.269696760658007</v>
      </c>
    </row>
    <row r="480" spans="3:16" ht="15.65" customHeight="1">
      <c r="C480" s="442"/>
      <c r="I480" s="71"/>
      <c r="J480">
        <f t="shared" ref="J480:O480" si="140">J474-$I$474</f>
        <v>-53.846961700263137</v>
      </c>
      <c r="K480">
        <f t="shared" si="140"/>
        <v>-107.69392340052627</v>
      </c>
      <c r="L480">
        <f t="shared" si="140"/>
        <v>-161.54088510078941</v>
      </c>
      <c r="M480">
        <f t="shared" si="140"/>
        <v>-215.38784680105255</v>
      </c>
      <c r="N480">
        <f t="shared" si="140"/>
        <v>-269.23480850131568</v>
      </c>
      <c r="O480" s="31">
        <f t="shared" si="140"/>
        <v>-323.08177020157927</v>
      </c>
    </row>
    <row r="481" spans="3:15" ht="15.65" customHeight="1">
      <c r="C481" s="442"/>
      <c r="I481" s="91"/>
      <c r="J481" s="92">
        <f t="shared" ref="J481:O481" si="141">J475-$I$475</f>
        <v>-41.901734642243923</v>
      </c>
      <c r="K481" s="92">
        <f t="shared" si="141"/>
        <v>-83.803469284487846</v>
      </c>
      <c r="L481" s="92">
        <f t="shared" si="141"/>
        <v>-125.70520392673177</v>
      </c>
      <c r="M481" s="92">
        <f t="shared" si="141"/>
        <v>-167.60693856897569</v>
      </c>
      <c r="N481" s="92">
        <f t="shared" si="141"/>
        <v>-209.50867321121962</v>
      </c>
      <c r="O481" s="33">
        <f t="shared" si="141"/>
        <v>-251.41040785346357</v>
      </c>
    </row>
    <row r="482" spans="3:15" ht="15.65" customHeight="1">
      <c r="C482" s="442"/>
    </row>
    <row r="483" spans="3:15" ht="15.65" customHeight="1">
      <c r="C483" s="200" t="s">
        <v>428</v>
      </c>
    </row>
    <row r="484" spans="3:15" ht="15.65" customHeight="1">
      <c r="C484" s="442"/>
    </row>
    <row r="485" spans="3:15" ht="15.65" customHeight="1">
      <c r="C485" s="442"/>
    </row>
    <row r="486" spans="3:15" ht="15.65" customHeight="1" thickBot="1">
      <c r="C486" s="1122"/>
      <c r="D486" s="1583" t="s">
        <v>871</v>
      </c>
      <c r="E486" s="1583"/>
      <c r="F486" s="1583"/>
      <c r="G486" s="1583"/>
      <c r="H486" s="1583"/>
      <c r="I486" s="1583"/>
      <c r="J486" s="1583"/>
      <c r="K486" s="1583"/>
    </row>
    <row r="487" spans="3:15" ht="15.65" customHeight="1" thickTop="1"/>
    <row r="488" spans="3:15" ht="15.65" customHeight="1" thickBot="1">
      <c r="C488" s="1584" t="s">
        <v>872</v>
      </c>
      <c r="D488" s="1584"/>
      <c r="E488" s="1584"/>
      <c r="F488" s="1584"/>
      <c r="G488" s="1584"/>
      <c r="H488" s="1584"/>
      <c r="I488" s="1584"/>
      <c r="J488" s="1584"/>
    </row>
    <row r="489" spans="3:15" ht="15.65" customHeight="1">
      <c r="C489" s="1123" t="s">
        <v>873</v>
      </c>
      <c r="D489" s="1130">
        <v>2021</v>
      </c>
      <c r="E489" s="1130">
        <v>2025</v>
      </c>
      <c r="F489" s="1130">
        <v>2030</v>
      </c>
      <c r="G489" s="1130">
        <v>2035</v>
      </c>
      <c r="H489" s="1130">
        <v>2040</v>
      </c>
      <c r="I489" s="1130">
        <v>2045</v>
      </c>
      <c r="J489" s="1131">
        <v>2050</v>
      </c>
    </row>
    <row r="490" spans="3:15" ht="15.65" customHeight="1">
      <c r="C490" s="1124" t="s">
        <v>360</v>
      </c>
      <c r="D490" s="1125">
        <v>0</v>
      </c>
      <c r="E490" s="1125">
        <v>0</v>
      </c>
      <c r="F490" s="1125">
        <v>0</v>
      </c>
      <c r="G490" s="1125"/>
      <c r="H490" s="1125"/>
      <c r="I490" s="1125"/>
      <c r="J490" s="1126"/>
    </row>
    <row r="491" spans="3:15" ht="15.65" customHeight="1">
      <c r="C491" s="1124" t="s">
        <v>874</v>
      </c>
      <c r="D491" s="1125">
        <v>0</v>
      </c>
      <c r="E491" s="1125">
        <v>0</v>
      </c>
      <c r="F491" s="1125">
        <v>0</v>
      </c>
      <c r="G491" s="1125"/>
      <c r="H491" s="1125"/>
      <c r="I491" s="1125"/>
      <c r="J491" s="1126"/>
    </row>
    <row r="492" spans="3:15" ht="15.65" customHeight="1">
      <c r="C492" s="1124" t="s">
        <v>875</v>
      </c>
      <c r="D492" s="1125">
        <v>455.73907855508537</v>
      </c>
      <c r="E492" s="1125">
        <v>405.6747609386457</v>
      </c>
      <c r="F492" s="1125">
        <v>316.65258451410631</v>
      </c>
      <c r="G492" s="1125"/>
      <c r="H492" s="1125"/>
      <c r="I492" s="1125"/>
      <c r="J492" s="1126"/>
    </row>
    <row r="493" spans="3:15" ht="15.65" customHeight="1">
      <c r="C493" s="1124" t="s">
        <v>876</v>
      </c>
      <c r="D493" s="1125">
        <v>0</v>
      </c>
      <c r="E493" s="1125">
        <v>0</v>
      </c>
      <c r="F493" s="1125">
        <v>0.21178247693223418</v>
      </c>
      <c r="G493" s="1125"/>
      <c r="H493" s="1125"/>
      <c r="I493" s="1125"/>
      <c r="J493" s="1126"/>
    </row>
    <row r="494" spans="3:15" ht="15.65" customHeight="1">
      <c r="C494" s="1124" t="s">
        <v>321</v>
      </c>
      <c r="D494" s="1125">
        <v>3.1643742499999998</v>
      </c>
      <c r="E494" s="1125">
        <v>4.0775382013137236</v>
      </c>
      <c r="F494" s="1125">
        <v>5.6309983287714074</v>
      </c>
      <c r="G494" s="1125"/>
      <c r="H494" s="1125"/>
      <c r="I494" s="1125"/>
      <c r="J494" s="1126"/>
    </row>
    <row r="495" spans="3:15" ht="15.65" customHeight="1">
      <c r="C495" s="1124" t="s">
        <v>877</v>
      </c>
      <c r="D495" s="1125">
        <v>0</v>
      </c>
      <c r="E495" s="1125">
        <v>0</v>
      </c>
      <c r="F495" s="1125">
        <v>0</v>
      </c>
      <c r="G495" s="1125"/>
      <c r="H495" s="1125"/>
      <c r="I495" s="1125"/>
      <c r="J495" s="1126"/>
    </row>
    <row r="496" spans="3:15" ht="15.65" customHeight="1">
      <c r="C496" s="1124" t="s">
        <v>50</v>
      </c>
      <c r="D496" s="1125">
        <v>0</v>
      </c>
      <c r="E496" s="1125">
        <v>0</v>
      </c>
      <c r="F496" s="1125">
        <v>0</v>
      </c>
      <c r="G496" s="1125"/>
      <c r="H496" s="1125"/>
      <c r="I496" s="1125"/>
      <c r="J496" s="1126"/>
    </row>
    <row r="497" spans="3:21" ht="15.65" customHeight="1">
      <c r="C497" s="1124" t="s">
        <v>878</v>
      </c>
      <c r="D497" s="1125">
        <v>0</v>
      </c>
      <c r="E497" s="1125">
        <v>0</v>
      </c>
      <c r="F497" s="1125">
        <v>0</v>
      </c>
      <c r="G497" s="1125"/>
      <c r="H497" s="1125"/>
      <c r="I497" s="1125"/>
      <c r="J497" s="1126"/>
    </row>
    <row r="498" spans="3:21" ht="15.65" customHeight="1">
      <c r="C498" s="1124" t="s">
        <v>839</v>
      </c>
      <c r="D498" s="1125">
        <v>0</v>
      </c>
      <c r="E498" s="1125">
        <v>0</v>
      </c>
      <c r="F498" s="1125">
        <v>0</v>
      </c>
      <c r="G498" s="1125"/>
      <c r="H498" s="1125"/>
      <c r="I498" s="1125"/>
      <c r="J498" s="1126"/>
    </row>
    <row r="499" spans="3:21" ht="15.65" customHeight="1">
      <c r="C499" s="1124" t="s">
        <v>182</v>
      </c>
      <c r="D499" s="1125">
        <v>0</v>
      </c>
      <c r="E499" s="1125">
        <v>0</v>
      </c>
      <c r="F499" s="1125">
        <v>0</v>
      </c>
      <c r="G499" s="1125"/>
      <c r="H499" s="1125"/>
      <c r="I499" s="1125"/>
      <c r="J499" s="1126"/>
    </row>
    <row r="500" spans="3:21" ht="15.65" customHeight="1">
      <c r="C500" s="1124" t="s">
        <v>879</v>
      </c>
      <c r="D500" s="1125">
        <v>33.682313987219715</v>
      </c>
      <c r="E500" s="1125">
        <v>42.098104263639655</v>
      </c>
      <c r="F500" s="1125">
        <v>37.755477147774521</v>
      </c>
      <c r="G500" s="1125"/>
      <c r="H500" s="1125"/>
      <c r="I500" s="1125"/>
      <c r="J500" s="1126"/>
    </row>
    <row r="501" spans="3:21" ht="15.65" customHeight="1">
      <c r="C501" s="1124" t="s">
        <v>880</v>
      </c>
      <c r="D501" s="1125">
        <v>0</v>
      </c>
      <c r="E501" s="1125">
        <v>0.21460727375335389</v>
      </c>
      <c r="F501" s="1125">
        <v>0.99370558743024839</v>
      </c>
      <c r="G501" s="1125"/>
      <c r="H501" s="1125"/>
      <c r="I501" s="1125"/>
      <c r="J501" s="1126"/>
    </row>
    <row r="502" spans="3:21" ht="15.65" customHeight="1">
      <c r="C502" s="1124" t="s">
        <v>841</v>
      </c>
      <c r="D502" s="1125">
        <v>0</v>
      </c>
      <c r="E502" s="1125">
        <v>0</v>
      </c>
      <c r="F502" s="1125">
        <v>0</v>
      </c>
      <c r="G502" s="1125"/>
      <c r="H502" s="1125"/>
      <c r="I502" s="1125"/>
      <c r="J502" s="1126"/>
    </row>
    <row r="503" spans="3:21" ht="15.65" customHeight="1">
      <c r="C503" s="1124" t="s">
        <v>840</v>
      </c>
      <c r="D503" s="1125">
        <v>0</v>
      </c>
      <c r="E503" s="1125">
        <v>0</v>
      </c>
      <c r="F503" s="1125">
        <v>0</v>
      </c>
      <c r="G503" s="1125"/>
      <c r="H503" s="1125"/>
      <c r="I503" s="1125"/>
      <c r="J503" s="1126"/>
    </row>
    <row r="504" spans="3:21" ht="15.65" customHeight="1">
      <c r="C504" s="1124" t="s">
        <v>881</v>
      </c>
      <c r="D504" s="1125">
        <v>9.5062570700000002</v>
      </c>
      <c r="E504" s="1125">
        <v>16.304325769708704</v>
      </c>
      <c r="F504" s="1125">
        <v>33.627467612150312</v>
      </c>
      <c r="G504" s="1125"/>
      <c r="H504" s="1125"/>
      <c r="I504" s="1125"/>
      <c r="J504" s="1126"/>
    </row>
    <row r="505" spans="3:21" ht="15.65" customHeight="1">
      <c r="C505" s="1124" t="s">
        <v>882</v>
      </c>
      <c r="D505" s="1125">
        <v>0</v>
      </c>
      <c r="E505" s="1125">
        <v>0</v>
      </c>
      <c r="F505" s="1125">
        <v>0</v>
      </c>
      <c r="G505" s="1125"/>
      <c r="H505" s="1125"/>
      <c r="I505" s="1125"/>
      <c r="J505" s="1126"/>
    </row>
    <row r="506" spans="3:21" ht="15.65" customHeight="1">
      <c r="C506" s="1124" t="s">
        <v>670</v>
      </c>
      <c r="D506" s="1125">
        <v>0</v>
      </c>
      <c r="E506" s="1125">
        <v>0</v>
      </c>
      <c r="F506" s="1125">
        <v>0.96605492902811552</v>
      </c>
      <c r="G506" s="1125"/>
      <c r="H506" s="1125"/>
      <c r="I506" s="1125"/>
      <c r="J506" s="1126"/>
    </row>
    <row r="507" spans="3:21" ht="15.65" customHeight="1" thickBot="1">
      <c r="C507" s="1127" t="s">
        <v>245</v>
      </c>
      <c r="D507" s="1128">
        <v>502.0920238623051</v>
      </c>
      <c r="E507" s="1128">
        <v>468.36933644706113</v>
      </c>
      <c r="F507" s="1128">
        <v>395.83807059619318</v>
      </c>
      <c r="G507" s="1128"/>
      <c r="H507" s="1128"/>
      <c r="I507" s="1128"/>
      <c r="J507" s="1129"/>
    </row>
    <row r="508" spans="3:21" ht="15.65" customHeight="1">
      <c r="C508" s="1585" t="s">
        <v>883</v>
      </c>
      <c r="D508" s="1585"/>
      <c r="E508" s="1585"/>
      <c r="F508" s="1585"/>
      <c r="G508" s="1585"/>
      <c r="H508" s="1585"/>
      <c r="I508" s="1585"/>
      <c r="J508" s="1585"/>
    </row>
    <row r="509" spans="3:21" ht="15.65" customHeight="1"/>
    <row r="510" spans="3:21" ht="15.65" customHeight="1">
      <c r="C510" s="1132" t="s">
        <v>884</v>
      </c>
      <c r="D510" s="1460">
        <f>-(D492-F492)/D492</f>
        <v>-0.30518886921426824</v>
      </c>
    </row>
    <row r="511" spans="3:21" ht="15.65" customHeight="1">
      <c r="C511" s="442"/>
      <c r="D511" s="442"/>
      <c r="H511" s="344">
        <v>2011</v>
      </c>
      <c r="I511" s="345">
        <v>2012</v>
      </c>
      <c r="J511" s="345">
        <v>2013</v>
      </c>
      <c r="K511" s="345">
        <v>2014</v>
      </c>
      <c r="L511" s="345">
        <v>2015</v>
      </c>
      <c r="M511" s="345">
        <v>2016</v>
      </c>
      <c r="N511" s="345">
        <v>2017</v>
      </c>
      <c r="O511" s="345">
        <v>2018</v>
      </c>
      <c r="P511" s="345">
        <v>2019</v>
      </c>
      <c r="Q511" s="345">
        <v>2020</v>
      </c>
      <c r="R511" s="345">
        <v>2021</v>
      </c>
      <c r="S511" s="345">
        <v>2022</v>
      </c>
      <c r="T511" s="345">
        <v>2023</v>
      </c>
      <c r="U511" s="346">
        <v>2024</v>
      </c>
    </row>
    <row r="512" spans="3:21" ht="15.65" customHeight="1">
      <c r="C512" s="442"/>
      <c r="D512" s="1120" t="s">
        <v>241</v>
      </c>
      <c r="E512" s="70"/>
      <c r="F512" s="70"/>
      <c r="G512" s="70"/>
      <c r="H512">
        <v>603616680.43349504</v>
      </c>
      <c r="I512">
        <v>680012244.95626426</v>
      </c>
      <c r="J512">
        <v>669536227.42020941</v>
      </c>
      <c r="K512">
        <v>637270744.10764241</v>
      </c>
      <c r="L512">
        <v>559496882.56512475</v>
      </c>
      <c r="M512">
        <v>520568759.72307551</v>
      </c>
      <c r="N512">
        <v>570365678.65218472</v>
      </c>
      <c r="O512">
        <v>652918424.9038136</v>
      </c>
      <c r="P512">
        <v>649883243.67373967</v>
      </c>
      <c r="Q512">
        <v>518390621.48287261</v>
      </c>
      <c r="R512">
        <v>630750705.63018632</v>
      </c>
      <c r="S512">
        <v>813417746.38822508</v>
      </c>
      <c r="T512" s="31">
        <v>792849321.86289334</v>
      </c>
    </row>
    <row r="513" spans="2:21" ht="15.65" customHeight="1">
      <c r="C513" s="442"/>
      <c r="D513" s="586" t="s">
        <v>343</v>
      </c>
      <c r="E513" s="70"/>
      <c r="F513" s="70"/>
      <c r="G513" s="475" t="s">
        <v>503</v>
      </c>
      <c r="H513" s="69"/>
      <c r="I513" s="70"/>
      <c r="J513" s="70"/>
      <c r="K513" s="70"/>
      <c r="L513" s="70"/>
      <c r="M513" s="70"/>
      <c r="N513" s="70"/>
      <c r="O513" s="70"/>
      <c r="P513" s="70"/>
      <c r="Q513" s="70"/>
      <c r="R513" s="70"/>
      <c r="S513" s="70"/>
      <c r="T513" s="70"/>
      <c r="U513" s="29"/>
    </row>
    <row r="514" spans="2:21" ht="15.65" customHeight="1">
      <c r="C514" s="442"/>
      <c r="D514" s="71" t="s">
        <v>508</v>
      </c>
      <c r="H514" s="509">
        <v>464093747.95088834</v>
      </c>
      <c r="I514" s="322">
        <v>507880390.06902283</v>
      </c>
      <c r="J514" s="322">
        <v>500972398.13921463</v>
      </c>
      <c r="K514" s="322">
        <v>477474665.66349292</v>
      </c>
      <c r="L514" s="322">
        <v>419242698.70917994</v>
      </c>
      <c r="M514" s="322">
        <v>389861284.79731894</v>
      </c>
      <c r="N514" s="322">
        <v>426167371.56870753</v>
      </c>
      <c r="O514" s="322">
        <v>487432941.39055705</v>
      </c>
      <c r="P514" s="322">
        <v>485706483.48065573</v>
      </c>
      <c r="Q514" s="322">
        <v>387407055.82936144</v>
      </c>
      <c r="R514" s="322">
        <v>470790233.24409109</v>
      </c>
      <c r="S514" s="322">
        <v>607230118.41560686</v>
      </c>
      <c r="T514" s="322">
        <v>592670845.41724944</v>
      </c>
      <c r="U514" s="425">
        <v>572169836.07578588</v>
      </c>
    </row>
    <row r="515" spans="2:21" ht="15.65" customHeight="1">
      <c r="C515" s="442"/>
      <c r="D515" s="71" t="s">
        <v>509</v>
      </c>
      <c r="H515" s="509">
        <v>143323069.22012725</v>
      </c>
      <c r="I515" s="322">
        <v>156845414.58013943</v>
      </c>
      <c r="J515" s="322">
        <v>154712064.13122803</v>
      </c>
      <c r="K515" s="322">
        <v>147455411.45490223</v>
      </c>
      <c r="L515" s="322">
        <v>129472009.89548203</v>
      </c>
      <c r="M515" s="322">
        <v>120398337.9521132</v>
      </c>
      <c r="N515" s="322">
        <v>131610511.80798319</v>
      </c>
      <c r="O515" s="322">
        <v>150530761.31178963</v>
      </c>
      <c r="P515" s="322">
        <v>149997590.48667309</v>
      </c>
      <c r="Q515" s="322">
        <v>119640414.30024397</v>
      </c>
      <c r="R515" s="322">
        <v>145391101.44302812</v>
      </c>
      <c r="S515" s="322">
        <v>187526948.3342315</v>
      </c>
      <c r="T515" s="322">
        <v>183030702.26120937</v>
      </c>
      <c r="U515" s="425">
        <v>176699508.199875</v>
      </c>
    </row>
    <row r="516" spans="2:21" ht="15.65" customHeight="1">
      <c r="C516" s="442"/>
      <c r="D516" s="71" t="s">
        <v>416</v>
      </c>
      <c r="H516" s="509">
        <v>75073988.639114276</v>
      </c>
      <c r="I516" s="322">
        <v>82157121.922930166</v>
      </c>
      <c r="J516" s="322">
        <v>81039652.640167058</v>
      </c>
      <c r="K516" s="322">
        <v>77238548.857329726</v>
      </c>
      <c r="L516" s="322">
        <v>67818671.850014389</v>
      </c>
      <c r="M516" s="322">
        <v>63065796.07015454</v>
      </c>
      <c r="N516" s="322">
        <v>68938839.518467396</v>
      </c>
      <c r="O516" s="322">
        <v>78849446.401413634</v>
      </c>
      <c r="P516" s="322">
        <v>78570166.445400178</v>
      </c>
      <c r="Q516" s="322">
        <v>62668788.442984939</v>
      </c>
      <c r="R516" s="322">
        <v>76157243.613014728</v>
      </c>
      <c r="S516" s="322">
        <v>98228401.508406982</v>
      </c>
      <c r="T516" s="322">
        <v>95873224.993966818</v>
      </c>
      <c r="U516" s="425">
        <v>92556885.247553587</v>
      </c>
    </row>
    <row r="517" spans="2:21" ht="15.65" customHeight="1">
      <c r="C517" s="442"/>
      <c r="D517" s="363" t="s">
        <v>510</v>
      </c>
      <c r="H517" s="509">
        <v>17267017.386996284</v>
      </c>
      <c r="I517" s="322">
        <v>18896138.042273939</v>
      </c>
      <c r="J517" s="322">
        <v>18639120.107238427</v>
      </c>
      <c r="K517" s="322">
        <v>17764866.23718584</v>
      </c>
      <c r="L517" s="322">
        <v>15598294.525503311</v>
      </c>
      <c r="M517" s="322">
        <v>14505133.096135544</v>
      </c>
      <c r="N517" s="322">
        <v>15855933.089247499</v>
      </c>
      <c r="O517" s="322">
        <v>18135372.672325134</v>
      </c>
      <c r="P517" s="322">
        <v>18071138.282442041</v>
      </c>
      <c r="Q517" s="322">
        <v>14413821.341886535</v>
      </c>
      <c r="R517" s="322">
        <v>17516166.030993387</v>
      </c>
      <c r="S517" s="322">
        <v>22592532.346933603</v>
      </c>
      <c r="T517" s="322">
        <v>22050841.74861237</v>
      </c>
      <c r="U517" s="425">
        <v>21288083.606937319</v>
      </c>
    </row>
    <row r="518" spans="2:21" ht="15.65" customHeight="1">
      <c r="C518" s="442"/>
      <c r="D518" s="363" t="s">
        <v>511</v>
      </c>
      <c r="H518" s="509">
        <v>39789213.978730574</v>
      </c>
      <c r="I518" s="322">
        <v>43543274.619152986</v>
      </c>
      <c r="J518" s="322">
        <v>42951015.89928855</v>
      </c>
      <c r="K518" s="322">
        <v>40936430.894384772</v>
      </c>
      <c r="L518" s="322">
        <v>35943896.080507636</v>
      </c>
      <c r="M518" s="322">
        <v>33424871.917181909</v>
      </c>
      <c r="N518" s="322">
        <v>36537584.944787718</v>
      </c>
      <c r="O518" s="322">
        <v>41790206.592749231</v>
      </c>
      <c r="P518" s="322">
        <v>41642188.216062099</v>
      </c>
      <c r="Q518" s="322">
        <v>33214457.874782018</v>
      </c>
      <c r="R518" s="322">
        <v>40363339.114897817</v>
      </c>
      <c r="S518" s="322">
        <v>52061052.799455702</v>
      </c>
      <c r="T518" s="322">
        <v>50812809.246802419</v>
      </c>
      <c r="U518" s="425">
        <v>49055149.181203395</v>
      </c>
    </row>
    <row r="519" spans="2:21" ht="15.65" customHeight="1">
      <c r="C519" s="442"/>
      <c r="D519" s="363" t="s">
        <v>512</v>
      </c>
      <c r="H519" s="509">
        <v>8258138.7503025718</v>
      </c>
      <c r="I519" s="322">
        <v>9037283.4115223177</v>
      </c>
      <c r="J519" s="322">
        <v>8914361.7904183771</v>
      </c>
      <c r="K519" s="322">
        <v>8496240.3743062709</v>
      </c>
      <c r="L519" s="322">
        <v>7460053.9035015833</v>
      </c>
      <c r="M519" s="322">
        <v>6937237.567716998</v>
      </c>
      <c r="N519" s="322">
        <v>7583272.3470314126</v>
      </c>
      <c r="O519" s="322">
        <v>8673439.1041554995</v>
      </c>
      <c r="P519" s="322">
        <v>8642718.3089940194</v>
      </c>
      <c r="Q519" s="322">
        <v>6893566.7287283428</v>
      </c>
      <c r="R519" s="322">
        <v>8377296.7974316198</v>
      </c>
      <c r="S519" s="322">
        <v>10805124.165924767</v>
      </c>
      <c r="T519" s="322">
        <v>10546054.749336351</v>
      </c>
      <c r="U519" s="425">
        <v>10181257.377230894</v>
      </c>
    </row>
    <row r="520" spans="2:21" ht="15.65" customHeight="1">
      <c r="C520" s="442"/>
      <c r="D520" s="363" t="s">
        <v>513</v>
      </c>
      <c r="H520" s="509">
        <v>5255179.2047380013</v>
      </c>
      <c r="I520" s="322">
        <v>5750998.5346051138</v>
      </c>
      <c r="J520" s="322">
        <v>5672775.6848116964</v>
      </c>
      <c r="K520" s="322">
        <v>5406698.4200130822</v>
      </c>
      <c r="L520" s="322">
        <v>4747307.0295010088</v>
      </c>
      <c r="M520" s="322">
        <v>4414605.724910818</v>
      </c>
      <c r="N520" s="322">
        <v>4825718.7662927173</v>
      </c>
      <c r="O520" s="322">
        <v>5519461.2480989546</v>
      </c>
      <c r="P520" s="322">
        <v>5499911.6511780145</v>
      </c>
      <c r="Q520" s="322">
        <v>4386815.1910089469</v>
      </c>
      <c r="R520" s="322">
        <v>5331007.052911032</v>
      </c>
      <c r="S520" s="322">
        <v>6875988.1055884892</v>
      </c>
      <c r="T520" s="322">
        <v>6711125.7495776787</v>
      </c>
      <c r="U520" s="425">
        <v>6478981.9673287505</v>
      </c>
    </row>
    <row r="521" spans="2:21" ht="15.65" customHeight="1">
      <c r="C521" s="442"/>
      <c r="D521" s="364" t="s">
        <v>514</v>
      </c>
      <c r="E521" s="92"/>
      <c r="F521" s="92"/>
      <c r="G521" s="92"/>
      <c r="H521" s="428">
        <v>3753699.4319557147</v>
      </c>
      <c r="I521" s="429">
        <v>4107856.0961465091</v>
      </c>
      <c r="J521" s="429">
        <v>4051982.6320083537</v>
      </c>
      <c r="K521" s="429">
        <v>3861927.4428664874</v>
      </c>
      <c r="L521" s="429">
        <v>3390933.5925007202</v>
      </c>
      <c r="M521" s="429">
        <v>3153289.8035077266</v>
      </c>
      <c r="N521" s="429">
        <v>3446941.9759233696</v>
      </c>
      <c r="O521" s="429">
        <v>3942472.3200706826</v>
      </c>
      <c r="P521" s="429">
        <v>3928508.3222700097</v>
      </c>
      <c r="Q521" s="429">
        <v>3133439.4221492475</v>
      </c>
      <c r="R521" s="429">
        <v>3807862.1806507371</v>
      </c>
      <c r="S521" s="429">
        <v>4911420.0754203498</v>
      </c>
      <c r="T521" s="429">
        <v>4793661.2496983418</v>
      </c>
      <c r="U521" s="430">
        <v>4627844.2623776793</v>
      </c>
    </row>
    <row r="522" spans="2:21" ht="15.65" customHeight="1">
      <c r="C522" s="442"/>
    </row>
    <row r="523" spans="2:21" ht="15.65" customHeight="1">
      <c r="C523" s="449" t="s">
        <v>1172</v>
      </c>
      <c r="D523" s="449" t="s">
        <v>1257</v>
      </c>
      <c r="E523" s="15" t="s">
        <v>248</v>
      </c>
    </row>
    <row r="524" spans="2:21" ht="15.65" customHeight="1">
      <c r="B524" s="88" t="s">
        <v>436</v>
      </c>
      <c r="C524" s="1230">
        <f>R514+R514*D510</f>
        <v>327110294.32320535</v>
      </c>
      <c r="D524" s="1370">
        <f>C524-U514</f>
        <v>-245059541.75258052</v>
      </c>
      <c r="E524" s="289">
        <f>D524/C524</f>
        <v>-0.74916487192679548</v>
      </c>
    </row>
    <row r="525" spans="2:21" ht="15.65" customHeight="1">
      <c r="B525" s="90" t="s">
        <v>437</v>
      </c>
      <c r="C525" s="1232">
        <f>R515+R515*D510</f>
        <v>101019355.5998134</v>
      </c>
      <c r="D525" s="1371">
        <f>C525-U515</f>
        <v>-75680152.600061595</v>
      </c>
      <c r="E525" s="119">
        <f>D525/C525</f>
        <v>-0.74916487192679526</v>
      </c>
    </row>
    <row r="526" spans="2:21" ht="15.65" customHeight="1">
      <c r="C526" s="442"/>
    </row>
    <row r="527" spans="2:21" ht="15.65" customHeight="1">
      <c r="C527" s="442"/>
    </row>
    <row r="528" spans="2:21" ht="28.5" customHeight="1">
      <c r="C528" s="1455" t="s">
        <v>869</v>
      </c>
      <c r="D528" s="1456" t="s">
        <v>1167</v>
      </c>
      <c r="E528" s="1457" t="s">
        <v>1171</v>
      </c>
      <c r="F528" s="1458" t="s">
        <v>870</v>
      </c>
      <c r="H528" s="80"/>
      <c r="I528" s="156">
        <v>2024</v>
      </c>
      <c r="J528" s="157">
        <v>2025</v>
      </c>
      <c r="K528" s="157">
        <v>2026</v>
      </c>
      <c r="L528" s="157">
        <v>2027</v>
      </c>
      <c r="M528" s="157">
        <v>2028</v>
      </c>
      <c r="N528" s="157">
        <v>2029</v>
      </c>
      <c r="O528" s="451">
        <v>2030</v>
      </c>
    </row>
    <row r="529" spans="3:15" ht="15.65" customHeight="1">
      <c r="C529" s="1120" t="s">
        <v>484</v>
      </c>
      <c r="D529" s="427">
        <f>V305+V324+V343+V362+V381</f>
        <v>176699508.19987503</v>
      </c>
      <c r="E529" s="427">
        <f>D529+D529*E525</f>
        <v>44322443.769787937</v>
      </c>
      <c r="F529" s="1121">
        <f>-(D529-E529)</f>
        <v>-132377064.43008709</v>
      </c>
      <c r="H529" s="322"/>
      <c r="I529" s="1452">
        <f>D529</f>
        <v>176699508.19987503</v>
      </c>
      <c r="J529" s="1229">
        <f>I529+($I$529-$O$529)/($I$528-$O$528)</f>
        <v>154636664.12819386</v>
      </c>
      <c r="K529" s="1229">
        <f>J529+($I$529-$O$529)/($I$528-$O$528)</f>
        <v>132573820.05651267</v>
      </c>
      <c r="L529" s="1229">
        <f>K529+($I$529-$O$529)/($I$528-$O$528)</f>
        <v>110510975.98483148</v>
      </c>
      <c r="M529" s="1229">
        <f>L529+($I$529-$O$529)/($I$528-$O$528)</f>
        <v>88448131.913150296</v>
      </c>
      <c r="N529" s="1229">
        <f>M529+($I$529-$O$529)/($I$528-$O$528)</f>
        <v>66385287.841469109</v>
      </c>
      <c r="O529" s="1121">
        <f>E529</f>
        <v>44322443.769787937</v>
      </c>
    </row>
    <row r="530" spans="3:15" ht="15.65" customHeight="1">
      <c r="C530" s="528" t="s">
        <v>669</v>
      </c>
      <c r="D530" s="429">
        <f>V304+V336+V342+V361+V380</f>
        <v>410304413.38622922</v>
      </c>
      <c r="E530" s="429">
        <f>D530+D530*E524</f>
        <v>102918760.08073586</v>
      </c>
      <c r="F530" s="430">
        <f>-(D530-E530)</f>
        <v>-307385653.30549335</v>
      </c>
      <c r="H530" s="322"/>
      <c r="I530" s="1453">
        <f>D530</f>
        <v>410304413.38622922</v>
      </c>
      <c r="J530" s="1454">
        <f>I530+($I$530-$O$530)/($I$528-$O$528)</f>
        <v>359073471.16864699</v>
      </c>
      <c r="K530" s="1454">
        <f>J530+($I$530-$O$530)/($I$528-$O$528)</f>
        <v>307842528.95106477</v>
      </c>
      <c r="L530" s="1454">
        <f>K530+($I$530-$O$530)/($I$528-$O$528)</f>
        <v>256611586.73348254</v>
      </c>
      <c r="M530" s="1454">
        <f>L530+($I$530-$O$530)/($I$528-$O$528)</f>
        <v>205380644.51590031</v>
      </c>
      <c r="N530" s="1454">
        <f>M530+($I$530-$O$530)/($I$528-$O$528)</f>
        <v>154149702.29831809</v>
      </c>
      <c r="O530" s="430">
        <f>E530</f>
        <v>102918760.08073586</v>
      </c>
    </row>
    <row r="531" spans="3:15" ht="15.65" customHeight="1">
      <c r="C531" s="442"/>
      <c r="H531" s="80"/>
      <c r="I531" s="452">
        <v>2024</v>
      </c>
      <c r="J531" s="80">
        <v>2025</v>
      </c>
      <c r="K531" s="80">
        <v>2026</v>
      </c>
      <c r="L531" s="80">
        <v>2027</v>
      </c>
      <c r="M531" s="80">
        <v>2028</v>
      </c>
      <c r="N531" s="80">
        <v>2029</v>
      </c>
      <c r="O531" s="379">
        <v>2030</v>
      </c>
    </row>
    <row r="532" spans="3:15" ht="15.65" customHeight="1">
      <c r="C532" s="529" t="s">
        <v>885</v>
      </c>
      <c r="D532" s="296"/>
      <c r="E532" s="1459">
        <f>F530+F529+F475+F474</f>
        <v>579063635.0943594</v>
      </c>
      <c r="I532" s="69"/>
      <c r="J532" s="70">
        <f t="shared" ref="J532:O532" si="142">-(J529-$I$529)/10^6</f>
        <v>22.062844071681173</v>
      </c>
      <c r="K532" s="70">
        <f t="shared" si="142"/>
        <v>44.12568814336236</v>
      </c>
      <c r="L532" s="70">
        <f t="shared" si="142"/>
        <v>66.188532215043551</v>
      </c>
      <c r="M532" s="70">
        <f t="shared" si="142"/>
        <v>88.251376286724735</v>
      </c>
      <c r="N532" s="70">
        <f t="shared" si="142"/>
        <v>110.31422035840592</v>
      </c>
      <c r="O532" s="29">
        <f t="shared" si="142"/>
        <v>132.3770644300871</v>
      </c>
    </row>
    <row r="533" spans="3:15" ht="15.65" customHeight="1">
      <c r="C533" s="442"/>
      <c r="I533" s="91"/>
      <c r="J533" s="92">
        <f t="shared" ref="J533:O533" si="143">-(J530-$I$530)/10^6</f>
        <v>51.230942217582225</v>
      </c>
      <c r="K533" s="92">
        <f t="shared" si="143"/>
        <v>102.46188443516445</v>
      </c>
      <c r="L533" s="92">
        <f t="shared" si="143"/>
        <v>153.69282665274667</v>
      </c>
      <c r="M533" s="92">
        <f t="shared" si="143"/>
        <v>204.9237688703289</v>
      </c>
      <c r="N533" s="92">
        <f t="shared" si="143"/>
        <v>256.15471108791115</v>
      </c>
      <c r="O533" s="33">
        <f t="shared" si="143"/>
        <v>307.38565330549335</v>
      </c>
    </row>
    <row r="534" spans="3:15" ht="15.65" customHeight="1">
      <c r="C534" s="442"/>
    </row>
    <row r="535" spans="3:15" ht="15.5" customHeight="1">
      <c r="C535" t="s">
        <v>1191</v>
      </c>
    </row>
    <row r="536" spans="3:15" ht="15.5" customHeight="1">
      <c r="C536" s="442"/>
    </row>
  </sheetData>
  <mergeCells count="5">
    <mergeCell ref="C419:J419"/>
    <mergeCell ref="C431:J431"/>
    <mergeCell ref="D486:K486"/>
    <mergeCell ref="C488:J488"/>
    <mergeCell ref="C508:J508"/>
  </mergeCells>
  <conditionalFormatting sqref="D490:J507">
    <cfRule type="cellIs" dxfId="0" priority="1" operator="greaterThan">
      <formula>0</formula>
    </cfRule>
  </conditionalFormatting>
  <hyperlinks>
    <hyperlink ref="A121" r:id="rId1" display="https://analysesetdonnees.rte-france.com/production/synthese" xr:uid="{D849FA46-2806-4686-80EF-0A0DCA322D8A}"/>
    <hyperlink ref="A170" r:id="rId2" display="https://librairie.ademe.fr/batiment/493-depenses-energetiques-des-collectivites-locales.html" xr:uid="{F6D2EA88-B4F4-4290-90AF-0E8BC41A3D6A}"/>
    <hyperlink ref="A177" r:id="rId3" display="https://librairie.ademe.fr/batiment/493-depenses-energetiques-des-collectivites-locales.html" xr:uid="{20C0A496-0341-402E-B008-57B88E32DDB8}"/>
    <hyperlink ref="A186" r:id="rId4" display="https://librairie.ademe.fr/batiment/493-depenses-energetiques-des-collectivites-locales.html" xr:uid="{12127571-7B82-4FA2-A99F-2B83BB3C11F9}"/>
    <hyperlink ref="A195" r:id="rId5" display="https://librairie.ademe.fr/batiment/493-depenses-energetiques-des-collectivites-locales.html" xr:uid="{36EF4209-89AD-4BE2-AAA6-1938645B8163}"/>
    <hyperlink ref="A284" r:id="rId6" display="https://librairie.ademe.fr/batiment/493-depenses-energetiques-des-collectivites-locales.html" xr:uid="{F5299DFB-E7DB-4788-86BB-9F00D2C632FA}"/>
    <hyperlink ref="A163" r:id="rId7" display="https://view.officeapps.live.com/op/view.aspx?src=https%3A%2F%2Fwww.statistiques.developpement-durable.gouv.fr%2Fmedia%2F7601%2Fdownload%3Finline&amp;wdOrigin=BROWSELINK" xr:uid="{5351D742-1D68-408C-A01A-77D1F13715A0}"/>
    <hyperlink ref="A167" r:id="rId8" display="https://view.officeapps.live.com/op/view.aspx?src=https%3A%2F%2Fwww.statistiques.developpement-durable.gouv.fr%2Fmedia%2F7601%2Fdownload%3Finline&amp;wdOrigin=BROWSELINK" xr:uid="{8A94B40F-FAF9-4710-A095-3486708F0500}"/>
    <hyperlink ref="A95" r:id="rId9" display="https://www.statistiques.developpement-durable.gouv.fr/les-reseaux-de-chaleur-et-froid-en-2023" xr:uid="{E85BDC09-DC5E-40FD-90B5-1833914FB33B}"/>
    <hyperlink ref="A132" r:id="rId10" display="https://analysesetdonnees.rte-france.com/production/synthese" xr:uid="{1EC302DB-A21F-4E14-823B-142818B92C64}"/>
    <hyperlink ref="A461" r:id="rId11" display="https://picbleu.fr/les-articles/convertir-le-fioul-domestique-regles-de-conversion" xr:uid="{52575888-5849-4399-B085-CE5D2DED8613}"/>
    <hyperlink ref="A96" r:id="rId12" display="https://www.statistiques.developpement-durable.gouv.fr/les-reseaux-de-chaleur-et-froid-en-2024-0" xr:uid="{4B204ABB-A565-4B58-954F-1B8222C363F9}"/>
  </hyperlinks>
  <pageMargins left="0.7" right="0.7" top="0.75" bottom="0.75" header="0.3" footer="0.3"/>
  <pageSetup paperSize="9" orientation="portrait" r:id="rId13"/>
  <drawing r:id="rId14"/>
  <legacyDrawing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560C7-5E73-4B07-B9F4-36D799747B8F}">
  <sheetPr>
    <tabColor theme="2" tint="-9.9978637043366805E-2"/>
  </sheetPr>
  <dimension ref="A1:AL400"/>
  <sheetViews>
    <sheetView topLeftCell="A18" zoomScale="27" zoomScaleNormal="40" workbookViewId="0">
      <selection activeCell="D401" sqref="D401"/>
    </sheetView>
  </sheetViews>
  <sheetFormatPr baseColWidth="10" defaultColWidth="11.453125" defaultRowHeight="14.5"/>
  <cols>
    <col min="7" max="13" width="14.7265625" bestFit="1" customWidth="1"/>
    <col min="14" max="14" width="12.36328125" bestFit="1" customWidth="1"/>
    <col min="15" max="19" width="14.7265625" bestFit="1" customWidth="1"/>
    <col min="20" max="20" width="17.7265625" bestFit="1" customWidth="1"/>
  </cols>
  <sheetData>
    <row r="1" spans="1:20" ht="21">
      <c r="A1" s="2" t="s">
        <v>449</v>
      </c>
      <c r="B1" s="2" t="s">
        <v>450</v>
      </c>
      <c r="C1" s="1" t="s">
        <v>451</v>
      </c>
      <c r="D1" s="2"/>
      <c r="E1" s="2"/>
      <c r="F1" s="2"/>
      <c r="G1" s="111">
        <v>2011</v>
      </c>
      <c r="H1" s="111">
        <v>2012</v>
      </c>
      <c r="I1" s="111">
        <v>2013</v>
      </c>
      <c r="J1" s="111">
        <v>2014</v>
      </c>
      <c r="K1" s="111">
        <v>2015</v>
      </c>
      <c r="L1" s="111">
        <v>2016</v>
      </c>
      <c r="M1" s="111">
        <v>2017</v>
      </c>
      <c r="N1" s="111">
        <v>2018</v>
      </c>
      <c r="O1" s="111">
        <v>2019</v>
      </c>
      <c r="P1" s="111">
        <v>2020</v>
      </c>
      <c r="Q1" s="111">
        <v>2021</v>
      </c>
      <c r="R1" s="111">
        <v>2022</v>
      </c>
      <c r="S1" s="111">
        <v>2023</v>
      </c>
      <c r="T1" s="111">
        <v>2024</v>
      </c>
    </row>
    <row r="2" spans="1:20">
      <c r="A2" t="s">
        <v>452</v>
      </c>
      <c r="B2" s="102">
        <v>45803</v>
      </c>
    </row>
    <row r="3" spans="1:20">
      <c r="C3" t="s">
        <v>453</v>
      </c>
    </row>
    <row r="5" spans="1:20" ht="18.5">
      <c r="A5" s="2"/>
      <c r="B5" s="2"/>
      <c r="C5" s="530" t="s">
        <v>454</v>
      </c>
      <c r="D5" s="531"/>
      <c r="E5" s="531"/>
      <c r="F5" s="532"/>
      <c r="G5" s="2"/>
      <c r="H5" s="2"/>
      <c r="I5" s="2"/>
      <c r="J5" s="2"/>
      <c r="K5" s="2"/>
      <c r="L5" s="2"/>
      <c r="M5" s="2"/>
      <c r="N5" s="2"/>
      <c r="O5" s="2"/>
      <c r="P5" s="2"/>
      <c r="Q5" s="2"/>
      <c r="R5" s="2"/>
      <c r="S5" s="2"/>
      <c r="T5" s="2"/>
    </row>
    <row r="6" spans="1:20">
      <c r="A6" s="2"/>
      <c r="B6" s="2"/>
      <c r="C6" s="35"/>
      <c r="D6" s="2"/>
      <c r="E6" s="2"/>
      <c r="F6" s="2"/>
      <c r="G6" s="2"/>
      <c r="H6" s="2"/>
      <c r="I6" s="2"/>
      <c r="J6" s="2"/>
      <c r="K6" s="2"/>
      <c r="L6" s="2"/>
      <c r="M6" s="2"/>
      <c r="N6" s="2"/>
      <c r="O6" s="2"/>
      <c r="P6" s="2"/>
      <c r="Q6" s="2"/>
      <c r="R6" s="2"/>
      <c r="S6" s="2"/>
      <c r="T6" s="2"/>
    </row>
    <row r="7" spans="1:20">
      <c r="A7" t="s">
        <v>452</v>
      </c>
      <c r="B7" s="102">
        <v>45803</v>
      </c>
      <c r="C7" s="35" t="s">
        <v>455</v>
      </c>
      <c r="D7" s="2"/>
      <c r="E7" s="2"/>
      <c r="F7" s="2"/>
      <c r="G7" s="2"/>
      <c r="H7" s="2"/>
      <c r="I7" s="2"/>
      <c r="J7" s="2"/>
      <c r="K7" s="2"/>
      <c r="L7" s="2"/>
      <c r="M7" s="2"/>
      <c r="N7" s="2"/>
      <c r="O7" s="2"/>
      <c r="P7" s="2"/>
      <c r="Q7" s="2"/>
      <c r="R7" s="2"/>
      <c r="S7" s="2"/>
      <c r="T7" s="2"/>
    </row>
    <row r="8" spans="1:20">
      <c r="A8" s="2"/>
      <c r="B8" s="2"/>
      <c r="C8" s="16"/>
      <c r="D8" s="17"/>
      <c r="E8" s="17"/>
      <c r="F8" s="17"/>
      <c r="G8" s="533">
        <v>2011</v>
      </c>
      <c r="H8" s="533">
        <v>2012</v>
      </c>
      <c r="I8" s="533">
        <v>2013</v>
      </c>
      <c r="J8" s="533">
        <v>2014</v>
      </c>
      <c r="K8" s="533">
        <v>2015</v>
      </c>
      <c r="L8" s="533">
        <v>2016</v>
      </c>
      <c r="M8" s="533">
        <v>2017</v>
      </c>
      <c r="N8" s="533">
        <v>2018</v>
      </c>
      <c r="O8" s="533">
        <v>2019</v>
      </c>
      <c r="P8" s="533">
        <v>2020</v>
      </c>
      <c r="Q8" s="533">
        <v>2021</v>
      </c>
      <c r="R8" s="533">
        <v>2022</v>
      </c>
      <c r="S8" s="533">
        <v>2023</v>
      </c>
      <c r="T8" s="533">
        <v>2024</v>
      </c>
    </row>
    <row r="9" spans="1:20">
      <c r="A9" s="2"/>
      <c r="B9" s="2"/>
      <c r="C9" s="36" t="s">
        <v>456</v>
      </c>
      <c r="D9" s="19"/>
      <c r="E9" s="534" t="s">
        <v>457</v>
      </c>
      <c r="F9" s="24"/>
      <c r="G9" s="535">
        <v>48.166189427312766</v>
      </c>
      <c r="H9" s="535">
        <v>49.707612885462545</v>
      </c>
      <c r="I9" s="535">
        <v>51.432768218623472</v>
      </c>
      <c r="J9" s="535">
        <v>52.76892086330934</v>
      </c>
      <c r="K9" s="535">
        <v>53.40654205607477</v>
      </c>
      <c r="L9" s="535">
        <v>46.539920556107248</v>
      </c>
      <c r="M9" s="535">
        <v>64.481062967581053</v>
      </c>
      <c r="N9" s="535">
        <v>64.473498774509792</v>
      </c>
      <c r="O9" s="535">
        <v>73.274335031126213</v>
      </c>
      <c r="P9" s="535">
        <v>75.041378378378383</v>
      </c>
      <c r="Q9" s="535">
        <v>78.769921465968579</v>
      </c>
      <c r="R9" s="535">
        <v>102.94021118721463</v>
      </c>
      <c r="S9" s="535">
        <v>210.56459487179492</v>
      </c>
      <c r="T9" s="535">
        <v>159.03141008174387</v>
      </c>
    </row>
    <row r="10" spans="1:20">
      <c r="A10" s="2"/>
      <c r="B10" s="2"/>
      <c r="C10" s="194" t="s">
        <v>458</v>
      </c>
      <c r="D10" s="2"/>
      <c r="E10" s="536" t="s">
        <v>232</v>
      </c>
      <c r="F10" s="26"/>
      <c r="G10" s="537">
        <v>27.480396475770917</v>
      </c>
      <c r="H10" s="537">
        <v>28.359829295154178</v>
      </c>
      <c r="I10" s="537">
        <v>28.732818825910933</v>
      </c>
      <c r="J10" s="537">
        <v>29.949928057553951</v>
      </c>
      <c r="K10" s="537">
        <v>29.710280373831779</v>
      </c>
      <c r="L10" s="537">
        <v>30.047368421052639</v>
      </c>
      <c r="M10" s="537">
        <v>43.143937032418954</v>
      </c>
      <c r="N10" s="537">
        <v>44.001501225490195</v>
      </c>
      <c r="O10" s="537">
        <v>43.475664968873801</v>
      </c>
      <c r="P10" s="537">
        <v>42.508621621621629</v>
      </c>
      <c r="Q10" s="537">
        <v>41.880078534031412</v>
      </c>
      <c r="R10" s="537">
        <v>36.434788812785399</v>
      </c>
      <c r="S10" s="537">
        <v>35.835405128205124</v>
      </c>
      <c r="T10" s="537">
        <v>43.693589918256123</v>
      </c>
    </row>
    <row r="11" spans="1:20">
      <c r="A11" s="2"/>
      <c r="B11" s="2"/>
      <c r="C11" s="194" t="s">
        <v>459</v>
      </c>
      <c r="D11" s="2"/>
      <c r="E11" s="536" t="s">
        <v>232</v>
      </c>
      <c r="F11" s="26"/>
      <c r="G11" s="537">
        <v>8.25</v>
      </c>
      <c r="H11" s="537">
        <v>9.75</v>
      </c>
      <c r="I11" s="537">
        <v>13.5</v>
      </c>
      <c r="J11" s="537">
        <v>16.5</v>
      </c>
      <c r="K11" s="537">
        <v>19.5</v>
      </c>
      <c r="L11" s="537">
        <v>22.5</v>
      </c>
      <c r="M11" s="537">
        <v>22.5</v>
      </c>
      <c r="N11" s="537">
        <v>22.5</v>
      </c>
      <c r="O11" s="537">
        <v>22.5</v>
      </c>
      <c r="P11" s="537">
        <v>22.5</v>
      </c>
      <c r="Q11" s="537">
        <v>22.5</v>
      </c>
      <c r="R11" s="537">
        <v>2.7916666666666665</v>
      </c>
      <c r="S11" s="537">
        <v>1</v>
      </c>
      <c r="T11" s="537">
        <v>19.333333333333336</v>
      </c>
    </row>
    <row r="12" spans="1:20">
      <c r="A12" s="2"/>
      <c r="B12" s="2"/>
      <c r="C12" s="194" t="s">
        <v>460</v>
      </c>
      <c r="D12" s="2"/>
      <c r="E12" s="536" t="s">
        <v>232</v>
      </c>
      <c r="F12" s="26"/>
      <c r="G12" s="537">
        <v>7.5034140969163019</v>
      </c>
      <c r="H12" s="537">
        <v>6.5075578193832655</v>
      </c>
      <c r="I12" s="537">
        <v>7.3594129554656007</v>
      </c>
      <c r="J12" s="537">
        <v>6.9811510791366942</v>
      </c>
      <c r="K12" s="537">
        <v>7.3831775700934514</v>
      </c>
      <c r="L12" s="537">
        <v>4.7127110228401108</v>
      </c>
      <c r="M12" s="537">
        <v>-22.5</v>
      </c>
      <c r="N12" s="537">
        <v>-22.5</v>
      </c>
      <c r="O12" s="537">
        <v>-22.5</v>
      </c>
      <c r="P12" s="537">
        <v>-22.5</v>
      </c>
      <c r="Q12" s="537">
        <v>-22.499999999999972</v>
      </c>
      <c r="R12" s="537">
        <v>-2.7916666666666856</v>
      </c>
      <c r="S12" s="537">
        <v>-1</v>
      </c>
      <c r="T12" s="537">
        <v>-19.333333333333343</v>
      </c>
    </row>
    <row r="13" spans="1:20">
      <c r="A13" s="2"/>
      <c r="B13" s="2"/>
      <c r="C13" s="74" t="s">
        <v>461</v>
      </c>
      <c r="D13" s="17"/>
      <c r="E13" s="538" t="s">
        <v>232</v>
      </c>
      <c r="F13" s="23"/>
      <c r="G13" s="539">
        <v>91.399999999999991</v>
      </c>
      <c r="H13" s="539">
        <v>94.324999999999989</v>
      </c>
      <c r="I13" s="539">
        <v>101.02500000000001</v>
      </c>
      <c r="J13" s="539">
        <v>106.19999999999999</v>
      </c>
      <c r="K13" s="539">
        <v>110</v>
      </c>
      <c r="L13" s="539">
        <v>103.8</v>
      </c>
      <c r="M13" s="539">
        <v>107.625</v>
      </c>
      <c r="N13" s="539">
        <v>108.47499999999999</v>
      </c>
      <c r="O13" s="539">
        <v>116.75</v>
      </c>
      <c r="P13" s="539">
        <v>117.55000000000001</v>
      </c>
      <c r="Q13" s="539">
        <v>120.65</v>
      </c>
      <c r="R13" s="539">
        <v>139.375</v>
      </c>
      <c r="S13" s="539">
        <v>246.40000000000003</v>
      </c>
      <c r="T13" s="539">
        <v>202.72499999999999</v>
      </c>
    </row>
    <row r="15" spans="1:20" ht="18.5">
      <c r="A15" t="s">
        <v>452</v>
      </c>
      <c r="B15" s="102">
        <v>45803</v>
      </c>
      <c r="C15" s="540" t="s">
        <v>193</v>
      </c>
      <c r="D15" s="541"/>
      <c r="E15" s="541"/>
      <c r="F15" s="542"/>
      <c r="G15" s="2"/>
      <c r="H15" s="2"/>
      <c r="I15" s="2"/>
      <c r="J15" s="2"/>
      <c r="K15" s="2"/>
      <c r="L15" s="2"/>
      <c r="M15" s="2"/>
      <c r="N15" s="2"/>
      <c r="O15" s="2"/>
      <c r="P15" s="2"/>
      <c r="Q15" s="2"/>
      <c r="R15" s="2"/>
      <c r="S15" s="2"/>
      <c r="T15" s="2"/>
    </row>
    <row r="16" spans="1:20">
      <c r="A16" s="2"/>
      <c r="B16" s="2"/>
      <c r="C16" s="2"/>
      <c r="D16" s="2"/>
      <c r="E16" s="2"/>
      <c r="F16" s="2"/>
      <c r="G16" s="2"/>
      <c r="H16" s="2"/>
      <c r="I16" s="2"/>
      <c r="J16" s="2"/>
      <c r="K16" s="2"/>
      <c r="L16" s="2"/>
      <c r="M16" s="2"/>
      <c r="N16" s="2"/>
      <c r="O16" s="2"/>
      <c r="P16" s="2"/>
      <c r="Q16" s="2"/>
      <c r="R16" s="2"/>
      <c r="S16" s="2"/>
      <c r="T16" s="2"/>
    </row>
    <row r="17" spans="1:20">
      <c r="A17" s="2"/>
      <c r="B17" s="2"/>
      <c r="C17" s="35" t="s">
        <v>462</v>
      </c>
      <c r="D17" s="2"/>
      <c r="E17" s="2"/>
      <c r="F17" s="2"/>
      <c r="G17" s="2"/>
      <c r="H17" s="2"/>
      <c r="I17" s="2"/>
      <c r="J17" s="2"/>
      <c r="K17" s="2"/>
      <c r="L17" s="2"/>
      <c r="M17" s="2"/>
      <c r="N17" s="2"/>
      <c r="O17" s="2"/>
      <c r="P17" s="2"/>
      <c r="Q17" s="2"/>
      <c r="R17" s="2"/>
      <c r="S17" s="2"/>
      <c r="T17" s="2"/>
    </row>
    <row r="18" spans="1:20">
      <c r="A18" s="2"/>
      <c r="B18" s="2"/>
      <c r="C18" s="18"/>
      <c r="D18" s="19"/>
      <c r="E18" s="19" t="s">
        <v>281</v>
      </c>
      <c r="F18" s="19" t="s">
        <v>282</v>
      </c>
      <c r="G18" s="111">
        <v>2011</v>
      </c>
      <c r="H18" s="111">
        <v>2012</v>
      </c>
      <c r="I18" s="111">
        <v>2013</v>
      </c>
      <c r="J18" s="111">
        <v>2014</v>
      </c>
      <c r="K18" s="111">
        <v>2015</v>
      </c>
      <c r="L18" s="111">
        <v>2016</v>
      </c>
      <c r="M18" s="111">
        <v>2017</v>
      </c>
      <c r="N18" s="111">
        <v>2018</v>
      </c>
      <c r="O18" s="111">
        <v>2019</v>
      </c>
      <c r="P18" s="111">
        <v>2020</v>
      </c>
      <c r="Q18" s="111">
        <v>2021</v>
      </c>
      <c r="R18" s="111">
        <v>2022</v>
      </c>
      <c r="S18" s="111">
        <v>2023</v>
      </c>
      <c r="T18" s="111">
        <v>2024</v>
      </c>
    </row>
    <row r="19" spans="1:20">
      <c r="A19" s="2"/>
      <c r="B19" s="2"/>
      <c r="C19" s="61" t="s">
        <v>463</v>
      </c>
      <c r="D19" s="19"/>
      <c r="E19" s="19" t="s">
        <v>464</v>
      </c>
      <c r="F19" s="19"/>
      <c r="G19" s="535">
        <v>10.02</v>
      </c>
      <c r="H19" s="535">
        <v>10.69</v>
      </c>
      <c r="I19" s="535">
        <v>10.734999999999999</v>
      </c>
      <c r="J19" s="535">
        <v>10.18</v>
      </c>
      <c r="K19" s="535">
        <v>9.4250000000000007</v>
      </c>
      <c r="L19" s="535">
        <v>8.58</v>
      </c>
      <c r="M19" s="535">
        <v>7.8483499999999999</v>
      </c>
      <c r="N19" s="535">
        <v>8.2760999999999996</v>
      </c>
      <c r="O19" s="535">
        <v>8.3850999999999996</v>
      </c>
      <c r="P19" s="535">
        <v>7.6120999999999999</v>
      </c>
      <c r="Q19" s="535">
        <v>9.7636000000000003</v>
      </c>
      <c r="R19" s="535">
        <v>16.773849999999999</v>
      </c>
      <c r="S19" s="535">
        <v>20.413899999999998</v>
      </c>
      <c r="T19" s="535">
        <v>16.010449999999999</v>
      </c>
    </row>
    <row r="20" spans="1:20">
      <c r="A20" s="2"/>
      <c r="B20" s="2"/>
      <c r="C20" s="60" t="s">
        <v>465</v>
      </c>
      <c r="D20" s="2"/>
      <c r="E20" s="2" t="s">
        <v>232</v>
      </c>
      <c r="F20" s="2"/>
      <c r="G20" s="537">
        <v>0.29500000000000171</v>
      </c>
      <c r="H20" s="537">
        <v>0.3100000000000005</v>
      </c>
      <c r="I20" s="537">
        <v>0.33000000000000007</v>
      </c>
      <c r="J20" s="537">
        <v>0.44999999999999929</v>
      </c>
      <c r="K20" s="537">
        <v>0.91000000000000014</v>
      </c>
      <c r="L20" s="537">
        <v>1.2999999999999989</v>
      </c>
      <c r="M20" s="537">
        <v>1.5579000000000001</v>
      </c>
      <c r="N20" s="537">
        <v>2.0390000000000015</v>
      </c>
      <c r="O20" s="537">
        <v>1.9882500000000007</v>
      </c>
      <c r="P20" s="537">
        <v>1.9652000000000012</v>
      </c>
      <c r="Q20" s="537">
        <v>2.0015000000000001</v>
      </c>
      <c r="R20" s="537">
        <v>1.9449500000000022</v>
      </c>
      <c r="S20" s="537">
        <v>1.8486500000000028</v>
      </c>
      <c r="T20" s="537">
        <v>4.4792500000000004</v>
      </c>
    </row>
    <row r="21" spans="1:20">
      <c r="A21" s="2"/>
      <c r="B21" s="2"/>
      <c r="C21" s="60" t="s">
        <v>466</v>
      </c>
      <c r="D21" s="2"/>
      <c r="E21" s="2" t="s">
        <v>232</v>
      </c>
      <c r="F21" s="26"/>
      <c r="G21" s="537">
        <v>1.884999999999998</v>
      </c>
      <c r="H21" s="537">
        <v>2.0399999999999991</v>
      </c>
      <c r="I21" s="537">
        <v>1.9650000000000016</v>
      </c>
      <c r="J21" s="537">
        <v>1.875</v>
      </c>
      <c r="K21" s="537">
        <v>1.7249999999999996</v>
      </c>
      <c r="L21" s="537">
        <v>1.5200000000000014</v>
      </c>
      <c r="M21" s="537">
        <v>1.6352000000000011</v>
      </c>
      <c r="N21" s="537">
        <v>1.7729999999999997</v>
      </c>
      <c r="O21" s="537">
        <v>1.7759499999999999</v>
      </c>
      <c r="P21" s="537">
        <v>1.6498499999999989</v>
      </c>
      <c r="Q21" s="537">
        <v>2.0474999999999994</v>
      </c>
      <c r="R21" s="537">
        <v>3.3806999999999974</v>
      </c>
      <c r="S21" s="537">
        <v>4.0814500000000002</v>
      </c>
      <c r="T21" s="537">
        <v>2.2724000000000011</v>
      </c>
    </row>
    <row r="22" spans="1:20">
      <c r="A22" s="2"/>
      <c r="B22" s="2"/>
      <c r="C22" s="298" t="s">
        <v>241</v>
      </c>
      <c r="D22" s="17"/>
      <c r="E22" s="17"/>
      <c r="F22" s="23"/>
      <c r="G22" s="539">
        <v>12.2</v>
      </c>
      <c r="H22" s="539">
        <v>13.04</v>
      </c>
      <c r="I22" s="539">
        <v>13.030000000000001</v>
      </c>
      <c r="J22" s="539">
        <v>12.504999999999999</v>
      </c>
      <c r="K22" s="539">
        <v>12.06</v>
      </c>
      <c r="L22" s="539">
        <v>11.4</v>
      </c>
      <c r="M22" s="539">
        <v>11.041450000000001</v>
      </c>
      <c r="N22" s="539">
        <v>12.088100000000001</v>
      </c>
      <c r="O22" s="539">
        <v>12.1493</v>
      </c>
      <c r="P22" s="539">
        <v>11.22715</v>
      </c>
      <c r="Q22" s="539">
        <v>13.8126</v>
      </c>
      <c r="R22" s="539">
        <v>22.099499999999999</v>
      </c>
      <c r="S22" s="539">
        <v>26.344000000000001</v>
      </c>
      <c r="T22" s="539">
        <v>22.7621</v>
      </c>
    </row>
    <row r="24" spans="1:20">
      <c r="A24" s="2"/>
      <c r="B24" s="2"/>
      <c r="C24" s="35" t="s">
        <v>462</v>
      </c>
      <c r="D24" s="2"/>
      <c r="E24" s="2"/>
      <c r="F24" s="2"/>
      <c r="G24" s="2"/>
      <c r="H24" s="2"/>
      <c r="I24" s="2"/>
      <c r="J24" s="2"/>
      <c r="K24" s="2"/>
      <c r="L24" s="2"/>
      <c r="M24" s="2"/>
      <c r="N24" s="2"/>
      <c r="O24" s="2"/>
      <c r="P24" s="2"/>
      <c r="Q24" s="2"/>
      <c r="R24" s="2"/>
      <c r="S24" s="2"/>
      <c r="T24" s="2"/>
    </row>
    <row r="25" spans="1:20">
      <c r="A25" s="2"/>
      <c r="B25" s="2"/>
      <c r="C25" s="16"/>
      <c r="D25" s="17"/>
      <c r="E25" s="17"/>
      <c r="F25" s="17"/>
      <c r="G25" s="533">
        <v>2011</v>
      </c>
      <c r="H25" s="533">
        <v>2012</v>
      </c>
      <c r="I25" s="533">
        <v>2013</v>
      </c>
      <c r="J25" s="533">
        <v>2014</v>
      </c>
      <c r="K25" s="533">
        <v>2015</v>
      </c>
      <c r="L25" s="533">
        <v>2016</v>
      </c>
      <c r="M25" s="533">
        <v>2017</v>
      </c>
      <c r="N25" s="533">
        <v>2018</v>
      </c>
      <c r="O25" s="533">
        <v>2019</v>
      </c>
      <c r="P25" s="533">
        <v>2020</v>
      </c>
      <c r="Q25" s="533">
        <v>2021</v>
      </c>
      <c r="R25" s="533">
        <v>2022</v>
      </c>
      <c r="S25" s="533">
        <v>2023</v>
      </c>
      <c r="T25" s="533">
        <v>2024</v>
      </c>
    </row>
    <row r="26" spans="1:20">
      <c r="A26" s="2"/>
      <c r="B26" s="2"/>
      <c r="C26" s="36" t="s">
        <v>463</v>
      </c>
      <c r="D26" s="19"/>
      <c r="E26" s="534" t="s">
        <v>468</v>
      </c>
      <c r="F26" s="24"/>
      <c r="G26" s="535">
        <v>32.468046804680469</v>
      </c>
      <c r="H26" s="535">
        <v>34.639063906390639</v>
      </c>
      <c r="I26" s="535">
        <v>34.784878487848786</v>
      </c>
      <c r="J26" s="535">
        <v>32.986498649864984</v>
      </c>
      <c r="K26" s="535">
        <v>30.540054005400542</v>
      </c>
      <c r="L26" s="535">
        <v>27.801980198019802</v>
      </c>
      <c r="M26" s="535">
        <v>25.431197119711971</v>
      </c>
      <c r="N26" s="535">
        <v>26.817245724572455</v>
      </c>
      <c r="O26" s="535">
        <v>27.170441044104408</v>
      </c>
      <c r="P26" s="535">
        <v>24.665670567056704</v>
      </c>
      <c r="Q26" s="535">
        <v>31.637227722772277</v>
      </c>
      <c r="R26" s="535">
        <v>54.352709270927093</v>
      </c>
      <c r="S26" s="535">
        <v>66.147650765076506</v>
      </c>
      <c r="T26" s="535">
        <v>51.879045904590456</v>
      </c>
    </row>
    <row r="27" spans="1:20">
      <c r="A27" s="2"/>
      <c r="B27" s="2"/>
      <c r="C27" s="194" t="s">
        <v>465</v>
      </c>
      <c r="D27" s="2"/>
      <c r="E27" s="536" t="s">
        <v>232</v>
      </c>
      <c r="F27" s="26"/>
      <c r="G27" s="537">
        <v>0.95589558955896137</v>
      </c>
      <c r="H27" s="537">
        <v>1.0045004500450061</v>
      </c>
      <c r="I27" s="537">
        <v>1.0693069306930696</v>
      </c>
      <c r="J27" s="537">
        <v>1.4581458145814559</v>
      </c>
      <c r="K27" s="537">
        <v>2.9486948694869493</v>
      </c>
      <c r="L27" s="537">
        <v>4.2124212421242087</v>
      </c>
      <c r="M27" s="537">
        <v>5.0481008100810083</v>
      </c>
      <c r="N27" s="537">
        <v>6.6070207020702121</v>
      </c>
      <c r="O27" s="537">
        <v>6.4425742574257452</v>
      </c>
      <c r="P27" s="537">
        <v>6.3678847884788512</v>
      </c>
      <c r="Q27" s="537">
        <v>6.4855085508550854</v>
      </c>
      <c r="R27" s="537">
        <v>6.3022682268226893</v>
      </c>
      <c r="S27" s="537">
        <v>5.9902250225022593</v>
      </c>
      <c r="T27" s="537">
        <v>14.514221422142215</v>
      </c>
    </row>
    <row r="28" spans="1:20">
      <c r="A28" s="2"/>
      <c r="B28" s="2"/>
      <c r="C28" s="543" t="s">
        <v>466</v>
      </c>
      <c r="D28" s="2"/>
      <c r="E28" s="536" t="s">
        <v>232</v>
      </c>
      <c r="F28" s="26"/>
      <c r="G28" s="537">
        <v>6.1080108010801011</v>
      </c>
      <c r="H28" s="537">
        <v>6.6102610261026076</v>
      </c>
      <c r="I28" s="537">
        <v>6.3672367236723728</v>
      </c>
      <c r="J28" s="537">
        <v>6.075607560756076</v>
      </c>
      <c r="K28" s="537">
        <v>5.5895589558955887</v>
      </c>
      <c r="L28" s="537">
        <v>4.9252925292529293</v>
      </c>
      <c r="M28" s="537">
        <v>5.2985778577857818</v>
      </c>
      <c r="N28" s="537">
        <v>5.7450945094509445</v>
      </c>
      <c r="O28" s="537">
        <v>5.754653465346534</v>
      </c>
      <c r="P28" s="537">
        <v>5.3460486048604823</v>
      </c>
      <c r="Q28" s="537">
        <v>6.6345634563456324</v>
      </c>
      <c r="R28" s="537">
        <v>10.954563456345626</v>
      </c>
      <c r="S28" s="537">
        <v>13.225220522052206</v>
      </c>
      <c r="T28" s="537">
        <v>7.3633123312331268</v>
      </c>
    </row>
    <row r="29" spans="1:20">
      <c r="A29" s="2"/>
      <c r="B29" s="2"/>
      <c r="C29" s="74" t="s">
        <v>467</v>
      </c>
      <c r="D29" s="17"/>
      <c r="E29" s="538" t="s">
        <v>232</v>
      </c>
      <c r="F29" s="23"/>
      <c r="G29" s="539">
        <v>39.531953195319531</v>
      </c>
      <c r="H29" s="539">
        <v>42.253825382538253</v>
      </c>
      <c r="I29" s="539">
        <v>42.221422142214223</v>
      </c>
      <c r="J29" s="539">
        <v>40.520252025202517</v>
      </c>
      <c r="K29" s="539">
        <v>39.078307830783082</v>
      </c>
      <c r="L29" s="539">
        <v>36.939693969396941</v>
      </c>
      <c r="M29" s="539">
        <v>35.777875787578758</v>
      </c>
      <c r="N29" s="539">
        <v>39.169360936093611</v>
      </c>
      <c r="O29" s="539">
        <v>39.36766876687669</v>
      </c>
      <c r="P29" s="539">
        <v>36.379603960396039</v>
      </c>
      <c r="Q29" s="539">
        <v>44.757299729972992</v>
      </c>
      <c r="R29" s="539">
        <v>71.609540954095408</v>
      </c>
      <c r="S29" s="539">
        <v>85.363096309630976</v>
      </c>
      <c r="T29" s="539">
        <v>73.756579657965801</v>
      </c>
    </row>
    <row r="30" spans="1:20">
      <c r="R30" s="291">
        <f>(R29-M29)/M29</f>
        <v>1.0015034257275992</v>
      </c>
    </row>
    <row r="32" spans="1:20" ht="18.5">
      <c r="A32" t="s">
        <v>452</v>
      </c>
      <c r="B32" s="102">
        <v>45803</v>
      </c>
      <c r="C32" s="564" t="s">
        <v>422</v>
      </c>
      <c r="D32" s="565"/>
      <c r="E32" s="565"/>
      <c r="F32" s="566"/>
      <c r="G32" s="2"/>
      <c r="H32" s="2"/>
      <c r="I32" s="2"/>
      <c r="J32" s="2"/>
      <c r="K32" s="2"/>
      <c r="L32" s="2"/>
      <c r="M32" s="2"/>
      <c r="N32" s="2"/>
      <c r="O32" s="2"/>
      <c r="P32" s="2"/>
      <c r="Q32" s="2"/>
      <c r="R32" s="2"/>
      <c r="S32" s="2"/>
    </row>
    <row r="34" spans="1:20">
      <c r="C34" s="35" t="s">
        <v>469</v>
      </c>
      <c r="D34" s="2"/>
      <c r="E34" s="2"/>
      <c r="F34" s="2"/>
      <c r="G34" s="2"/>
      <c r="H34" s="2"/>
      <c r="I34" s="2"/>
      <c r="J34" s="2"/>
      <c r="K34" s="2"/>
      <c r="L34" s="2"/>
      <c r="M34" s="2"/>
      <c r="N34" s="2"/>
      <c r="O34" s="2"/>
      <c r="P34" s="2"/>
      <c r="Q34" s="2"/>
      <c r="R34" s="2"/>
      <c r="S34" s="2"/>
      <c r="T34" s="2"/>
    </row>
    <row r="35" spans="1:20">
      <c r="C35" s="551"/>
      <c r="D35" s="552"/>
      <c r="E35" s="19" t="s">
        <v>281</v>
      </c>
      <c r="F35" s="19" t="s">
        <v>282</v>
      </c>
      <c r="G35" s="553">
        <f>G$1</f>
        <v>2011</v>
      </c>
      <c r="H35" s="553">
        <f t="shared" ref="H35:T35" si="0">H$1</f>
        <v>2012</v>
      </c>
      <c r="I35" s="553">
        <f t="shared" si="0"/>
        <v>2013</v>
      </c>
      <c r="J35" s="553">
        <f t="shared" si="0"/>
        <v>2014</v>
      </c>
      <c r="K35" s="553">
        <f t="shared" si="0"/>
        <v>2015</v>
      </c>
      <c r="L35" s="553">
        <f t="shared" si="0"/>
        <v>2016</v>
      </c>
      <c r="M35" s="553">
        <f t="shared" si="0"/>
        <v>2017</v>
      </c>
      <c r="N35" s="553">
        <f t="shared" si="0"/>
        <v>2018</v>
      </c>
      <c r="O35" s="553">
        <f t="shared" si="0"/>
        <v>2019</v>
      </c>
      <c r="P35" s="553">
        <f t="shared" si="0"/>
        <v>2020</v>
      </c>
      <c r="Q35" s="553">
        <f t="shared" si="0"/>
        <v>2021</v>
      </c>
      <c r="R35" s="553">
        <f t="shared" si="0"/>
        <v>2022</v>
      </c>
      <c r="S35" s="553">
        <f t="shared" si="0"/>
        <v>2023</v>
      </c>
      <c r="T35" s="553">
        <f t="shared" si="0"/>
        <v>2024</v>
      </c>
    </row>
    <row r="36" spans="1:20">
      <c r="C36" s="554" t="s">
        <v>470</v>
      </c>
      <c r="D36" s="19" t="s">
        <v>471</v>
      </c>
      <c r="E36" s="555" t="s">
        <v>232</v>
      </c>
      <c r="F36" s="555" t="s">
        <v>287</v>
      </c>
      <c r="G36" s="556">
        <v>0.6857692307692308</v>
      </c>
      <c r="H36" s="556">
        <v>0.75347884615384586</v>
      </c>
      <c r="I36" s="556">
        <v>0.7186769230769231</v>
      </c>
      <c r="J36" s="556">
        <v>0.65998846153846169</v>
      </c>
      <c r="K36" s="556">
        <v>0.51179615384615385</v>
      </c>
      <c r="L36" s="556">
        <v>0.43505660377358485</v>
      </c>
      <c r="M36" s="556">
        <v>0.49874615384615384</v>
      </c>
      <c r="N36" s="556">
        <v>0.60343269230769248</v>
      </c>
      <c r="O36" s="556">
        <v>0.61943653846153857</v>
      </c>
      <c r="P36" s="556">
        <v>0.48</v>
      </c>
      <c r="Q36" s="556">
        <v>0.59770000000000001</v>
      </c>
      <c r="R36" s="556">
        <v>1.0789</v>
      </c>
      <c r="S36" s="556">
        <v>0.89770000000000005</v>
      </c>
      <c r="T36" s="556">
        <v>0.84419999999999995</v>
      </c>
    </row>
    <row r="37" spans="1:20">
      <c r="C37" s="557" t="s">
        <v>470</v>
      </c>
      <c r="D37" s="558" t="s">
        <v>216</v>
      </c>
      <c r="E37" s="2" t="s">
        <v>232</v>
      </c>
      <c r="F37" s="26"/>
      <c r="G37" s="559">
        <f t="shared" ref="G37:T37" si="1">G38-G36</f>
        <v>0.20209999999999995</v>
      </c>
      <c r="H37" s="559">
        <f t="shared" si="1"/>
        <v>0.21536538461538501</v>
      </c>
      <c r="I37" s="559">
        <f t="shared" si="1"/>
        <v>0.20855576923076924</v>
      </c>
      <c r="J37" s="559">
        <f t="shared" si="1"/>
        <v>0.19992307692307665</v>
      </c>
      <c r="K37" s="559">
        <f t="shared" si="1"/>
        <v>0.19404615384615387</v>
      </c>
      <c r="L37" s="559">
        <f t="shared" si="1"/>
        <v>0.20257358490566041</v>
      </c>
      <c r="M37" s="559">
        <f t="shared" si="1"/>
        <v>0.24243269230769215</v>
      </c>
      <c r="N37" s="559">
        <f t="shared" si="1"/>
        <v>0.30812692307692291</v>
      </c>
      <c r="O37" s="559">
        <f t="shared" si="1"/>
        <v>0.31133269230769234</v>
      </c>
      <c r="P37" s="559">
        <f t="shared" si="1"/>
        <v>0.28339999999999999</v>
      </c>
      <c r="Q37" s="559">
        <f t="shared" si="1"/>
        <v>0.30699999999999994</v>
      </c>
      <c r="R37" s="559">
        <f t="shared" si="1"/>
        <v>0.4032</v>
      </c>
      <c r="S37" s="559">
        <f t="shared" si="1"/>
        <v>0.36699999999999988</v>
      </c>
      <c r="T37" s="559">
        <f t="shared" si="1"/>
        <v>0.35619999999999996</v>
      </c>
    </row>
    <row r="38" spans="1:20">
      <c r="C38" s="560" t="s">
        <v>470</v>
      </c>
      <c r="D38" s="21" t="s">
        <v>472</v>
      </c>
      <c r="E38" s="21" t="s">
        <v>232</v>
      </c>
      <c r="F38" s="27" t="s">
        <v>289</v>
      </c>
      <c r="G38" s="562">
        <v>0.88786923076923074</v>
      </c>
      <c r="H38" s="562">
        <v>0.96884423076923087</v>
      </c>
      <c r="I38" s="562">
        <v>0.92723269230769234</v>
      </c>
      <c r="J38" s="562">
        <v>0.85991153846153834</v>
      </c>
      <c r="K38" s="562">
        <v>0.70584230769230771</v>
      </c>
      <c r="L38" s="562">
        <v>0.63763018867924526</v>
      </c>
      <c r="M38" s="562">
        <v>0.74117884615384599</v>
      </c>
      <c r="N38" s="562">
        <v>0.91155961538461538</v>
      </c>
      <c r="O38" s="562">
        <v>0.9307692307692309</v>
      </c>
      <c r="P38" s="562">
        <v>0.76339999999999997</v>
      </c>
      <c r="Q38" s="562">
        <v>0.90469999999999995</v>
      </c>
      <c r="R38" s="562">
        <v>1.4821</v>
      </c>
      <c r="S38" s="562">
        <v>1.2646999999999999</v>
      </c>
      <c r="T38" s="562">
        <v>1.2003999999999999</v>
      </c>
    </row>
    <row r="39" spans="1:20">
      <c r="C39" s="557" t="s">
        <v>473</v>
      </c>
      <c r="D39" s="2" t="s">
        <v>471</v>
      </c>
      <c r="E39" s="2" t="s">
        <v>232</v>
      </c>
      <c r="F39" s="555" t="s">
        <v>287</v>
      </c>
      <c r="G39" s="556">
        <v>0.64945192307692323</v>
      </c>
      <c r="H39" s="556">
        <v>0.72692500000000004</v>
      </c>
      <c r="I39" s="556">
        <v>0.68487307692307675</v>
      </c>
      <c r="J39" s="556">
        <v>0.61486153846153857</v>
      </c>
      <c r="K39" s="556">
        <v>0.46163076923076929</v>
      </c>
      <c r="L39" s="556">
        <v>0.38286037735849066</v>
      </c>
      <c r="M39" s="556">
        <v>0.44315961538461529</v>
      </c>
      <c r="N39" s="556">
        <v>0.54808653846153832</v>
      </c>
      <c r="O39" s="556">
        <v>0.56900576923076907</v>
      </c>
      <c r="P39" s="556">
        <v>0.42080000000000001</v>
      </c>
      <c r="Q39" s="556">
        <v>0.53749999999999998</v>
      </c>
      <c r="R39" s="556">
        <v>1.0062</v>
      </c>
      <c r="S39" s="556">
        <v>0.82609999999999995</v>
      </c>
      <c r="T39" s="556">
        <v>0.77780000000000005</v>
      </c>
    </row>
    <row r="40" spans="1:20">
      <c r="C40" s="557" t="s">
        <v>473</v>
      </c>
      <c r="D40" s="558" t="s">
        <v>216</v>
      </c>
      <c r="E40" s="2" t="s">
        <v>232</v>
      </c>
      <c r="F40" s="26"/>
      <c r="G40" s="559">
        <f t="shared" ref="G40:T40" si="2">G41-G39</f>
        <v>0.19502307692307663</v>
      </c>
      <c r="H40" s="559">
        <f t="shared" si="2"/>
        <v>0.21017115384615381</v>
      </c>
      <c r="I40" s="559">
        <f t="shared" si="2"/>
        <v>0.20192307692307665</v>
      </c>
      <c r="J40" s="559">
        <f t="shared" si="2"/>
        <v>0.19089807692307692</v>
      </c>
      <c r="K40" s="559">
        <f t="shared" si="2"/>
        <v>0.18400384615384613</v>
      </c>
      <c r="L40" s="559">
        <f t="shared" si="2"/>
        <v>0.19213773584905647</v>
      </c>
      <c r="M40" s="559">
        <f t="shared" si="2"/>
        <v>0.23130384615384608</v>
      </c>
      <c r="N40" s="559">
        <f t="shared" si="2"/>
        <v>0.29705769230769252</v>
      </c>
      <c r="O40" s="559">
        <f t="shared" si="2"/>
        <v>0.3012442307692309</v>
      </c>
      <c r="P40" s="559">
        <f t="shared" si="2"/>
        <v>0.27160000000000001</v>
      </c>
      <c r="Q40" s="559">
        <f t="shared" si="2"/>
        <v>0.29490000000000005</v>
      </c>
      <c r="R40" s="559">
        <f t="shared" si="2"/>
        <v>0.38870000000000005</v>
      </c>
      <c r="S40" s="559">
        <f t="shared" si="2"/>
        <v>0.35270000000000012</v>
      </c>
      <c r="T40" s="559">
        <f t="shared" si="2"/>
        <v>0.34299999999999997</v>
      </c>
    </row>
    <row r="41" spans="1:20">
      <c r="C41" s="560" t="s">
        <v>473</v>
      </c>
      <c r="D41" s="21" t="s">
        <v>472</v>
      </c>
      <c r="E41" s="2" t="s">
        <v>232</v>
      </c>
      <c r="F41" s="27" t="s">
        <v>289</v>
      </c>
      <c r="G41" s="562">
        <v>0.84447499999999986</v>
      </c>
      <c r="H41" s="562">
        <v>0.93709615384615386</v>
      </c>
      <c r="I41" s="562">
        <v>0.8867961538461534</v>
      </c>
      <c r="J41" s="562">
        <v>0.80575961538461549</v>
      </c>
      <c r="K41" s="562">
        <v>0.64563461538461542</v>
      </c>
      <c r="L41" s="562">
        <v>0.57499811320754712</v>
      </c>
      <c r="M41" s="562">
        <v>0.67446346153846137</v>
      </c>
      <c r="N41" s="562">
        <v>0.84514423076923084</v>
      </c>
      <c r="O41" s="562">
        <v>0.87024999999999997</v>
      </c>
      <c r="P41" s="562">
        <v>0.69240000000000002</v>
      </c>
      <c r="Q41" s="562">
        <v>0.83240000000000003</v>
      </c>
      <c r="R41" s="562">
        <v>1.3949</v>
      </c>
      <c r="S41" s="562">
        <v>1.1788000000000001</v>
      </c>
      <c r="T41" s="562">
        <v>1.1208</v>
      </c>
    </row>
    <row r="42" spans="1:20">
      <c r="C42" s="554" t="s">
        <v>474</v>
      </c>
      <c r="D42" s="19" t="s">
        <v>471</v>
      </c>
      <c r="E42" s="19" t="s">
        <v>475</v>
      </c>
      <c r="F42" s="555" t="s">
        <v>287</v>
      </c>
      <c r="G42" s="556">
        <v>504.85557692307674</v>
      </c>
      <c r="H42" s="556">
        <v>582.11057692307691</v>
      </c>
      <c r="I42" s="556">
        <v>533.4419230769231</v>
      </c>
      <c r="J42" s="556">
        <v>495.82615384615383</v>
      </c>
      <c r="K42" s="556">
        <v>327.10038461538471</v>
      </c>
      <c r="L42" s="556">
        <v>276.27377358490571</v>
      </c>
      <c r="M42" s="556">
        <v>357.80788461538475</v>
      </c>
      <c r="N42" s="556">
        <v>420.61596153846153</v>
      </c>
      <c r="O42" s="556">
        <v>432.18096153846153</v>
      </c>
      <c r="P42" s="556">
        <v>323.02999999999997</v>
      </c>
      <c r="Q42" s="556">
        <v>459.5</v>
      </c>
      <c r="R42" s="556">
        <v>649.54</v>
      </c>
      <c r="S42" s="556">
        <v>544.76</v>
      </c>
      <c r="T42" s="556">
        <v>566.15</v>
      </c>
    </row>
    <row r="43" spans="1:20">
      <c r="C43" s="557" t="s">
        <v>474</v>
      </c>
      <c r="D43" s="558" t="s">
        <v>216</v>
      </c>
      <c r="E43" s="2" t="s">
        <v>232</v>
      </c>
      <c r="F43" s="26"/>
      <c r="G43" s="559">
        <f t="shared" ref="G43:T43" si="3">G44-G42</f>
        <v>18.500000000000057</v>
      </c>
      <c r="H43" s="559">
        <f t="shared" si="3"/>
        <v>18.5</v>
      </c>
      <c r="I43" s="559">
        <f t="shared" si="3"/>
        <v>18.499999999999886</v>
      </c>
      <c r="J43" s="559">
        <f t="shared" si="3"/>
        <v>21.049999999999955</v>
      </c>
      <c r="K43" s="559">
        <f t="shared" si="3"/>
        <v>45.299999999999955</v>
      </c>
      <c r="L43" s="559">
        <f t="shared" si="3"/>
        <v>68.800000000000068</v>
      </c>
      <c r="M43" s="559">
        <f t="shared" si="3"/>
        <v>95.39999999999975</v>
      </c>
      <c r="N43" s="559">
        <f t="shared" si="3"/>
        <v>139.49999999999989</v>
      </c>
      <c r="O43" s="559">
        <f t="shared" si="3"/>
        <v>139.49999999999994</v>
      </c>
      <c r="P43" s="559">
        <f t="shared" si="3"/>
        <v>139.5</v>
      </c>
      <c r="Q43" s="559">
        <f t="shared" si="3"/>
        <v>139.5</v>
      </c>
      <c r="R43" s="559">
        <f t="shared" si="3"/>
        <v>139.5</v>
      </c>
      <c r="S43" s="559">
        <f t="shared" si="3"/>
        <v>139.5</v>
      </c>
      <c r="T43" s="559">
        <f t="shared" si="3"/>
        <v>139.5</v>
      </c>
    </row>
    <row r="44" spans="1:20">
      <c r="C44" s="560" t="s">
        <v>474</v>
      </c>
      <c r="D44" s="21" t="s">
        <v>476</v>
      </c>
      <c r="E44" s="21" t="s">
        <v>232</v>
      </c>
      <c r="F44" s="27" t="s">
        <v>289</v>
      </c>
      <c r="G44" s="562">
        <v>523.3555769230768</v>
      </c>
      <c r="H44" s="562">
        <v>600.61057692307691</v>
      </c>
      <c r="I44" s="562">
        <v>551.94192307692299</v>
      </c>
      <c r="J44" s="562">
        <v>516.87615384615378</v>
      </c>
      <c r="K44" s="562">
        <v>372.40038461538467</v>
      </c>
      <c r="L44" s="562">
        <v>345.07377358490578</v>
      </c>
      <c r="M44" s="562">
        <v>453.2078846153845</v>
      </c>
      <c r="N44" s="562">
        <v>560.11596153846142</v>
      </c>
      <c r="O44" s="562">
        <v>571.68096153846147</v>
      </c>
      <c r="P44" s="562">
        <v>462.53</v>
      </c>
      <c r="Q44" s="562">
        <v>599</v>
      </c>
      <c r="R44" s="562">
        <v>789.04</v>
      </c>
      <c r="S44" s="562">
        <v>684.26</v>
      </c>
      <c r="T44" s="562">
        <v>705.65</v>
      </c>
    </row>
    <row r="46" spans="1:20" ht="18.5">
      <c r="A46" t="s">
        <v>452</v>
      </c>
      <c r="B46" s="102">
        <v>45803</v>
      </c>
      <c r="C46" s="544" t="s">
        <v>477</v>
      </c>
      <c r="D46" s="545"/>
      <c r="E46" s="545"/>
      <c r="F46" s="546"/>
      <c r="G46" s="2"/>
      <c r="H46" s="2"/>
      <c r="I46" s="2"/>
      <c r="J46" s="2"/>
      <c r="K46" s="2"/>
      <c r="L46" s="2"/>
      <c r="M46" s="2"/>
      <c r="N46" s="2"/>
      <c r="O46" s="2"/>
      <c r="P46" s="2"/>
      <c r="Q46" s="2"/>
      <c r="R46" s="2"/>
      <c r="S46" s="2"/>
      <c r="T46" s="2"/>
    </row>
    <row r="47" spans="1:20">
      <c r="A47" s="2"/>
      <c r="B47" s="2"/>
      <c r="C47" s="2"/>
      <c r="D47" s="2"/>
      <c r="E47" s="2"/>
      <c r="F47" s="2"/>
      <c r="G47" s="2"/>
      <c r="H47" s="2"/>
      <c r="I47" s="2"/>
      <c r="J47" s="2"/>
      <c r="K47" s="2"/>
      <c r="L47" s="2"/>
      <c r="M47" s="2"/>
      <c r="N47" s="2"/>
      <c r="O47" s="2"/>
      <c r="P47" s="2"/>
      <c r="Q47" s="2"/>
      <c r="R47" s="2"/>
      <c r="S47" s="2"/>
      <c r="T47" s="2"/>
    </row>
    <row r="48" spans="1:20">
      <c r="A48" s="2"/>
      <c r="B48" s="2"/>
      <c r="C48" s="35" t="s">
        <v>478</v>
      </c>
      <c r="D48" s="2"/>
      <c r="E48" s="2"/>
      <c r="F48" s="2"/>
      <c r="G48" s="2"/>
      <c r="H48" s="2"/>
      <c r="I48" s="2"/>
      <c r="J48" s="2"/>
      <c r="K48" s="2"/>
      <c r="L48" s="2"/>
      <c r="M48" s="2"/>
      <c r="N48" s="2"/>
      <c r="O48" s="2"/>
      <c r="P48" s="2"/>
      <c r="Q48" s="2"/>
      <c r="R48" s="2"/>
      <c r="S48" s="2"/>
      <c r="T48" s="2"/>
    </row>
    <row r="49" spans="1:20">
      <c r="A49" s="2"/>
      <c r="B49" s="2"/>
      <c r="C49" s="16"/>
      <c r="D49" s="17"/>
      <c r="E49" s="17"/>
      <c r="F49" s="17"/>
      <c r="G49" s="533">
        <v>2011</v>
      </c>
      <c r="H49" s="533">
        <v>2012</v>
      </c>
      <c r="I49" s="533">
        <v>2013</v>
      </c>
      <c r="J49" s="533">
        <v>2014</v>
      </c>
      <c r="K49" s="533">
        <v>2015</v>
      </c>
      <c r="L49" s="533">
        <v>2016</v>
      </c>
      <c r="M49" s="533">
        <v>2017</v>
      </c>
      <c r="N49" s="533">
        <v>2018</v>
      </c>
      <c r="O49" s="533">
        <v>2019</v>
      </c>
      <c r="P49" s="533">
        <v>2020</v>
      </c>
      <c r="Q49" s="533">
        <v>2021</v>
      </c>
      <c r="R49" s="533">
        <v>2022</v>
      </c>
      <c r="S49" s="533">
        <v>2023</v>
      </c>
      <c r="T49" s="533">
        <v>2024</v>
      </c>
    </row>
    <row r="50" spans="1:20">
      <c r="A50" s="2"/>
      <c r="B50" s="2"/>
      <c r="C50" s="36" t="s">
        <v>479</v>
      </c>
      <c r="D50" s="19"/>
      <c r="E50" s="534" t="s">
        <v>475</v>
      </c>
      <c r="F50" s="24"/>
      <c r="G50" s="535"/>
      <c r="H50" s="535"/>
      <c r="I50" s="535"/>
      <c r="J50" s="535">
        <v>58.4</v>
      </c>
      <c r="K50" s="535">
        <v>56.1</v>
      </c>
      <c r="L50" s="535">
        <v>56.1</v>
      </c>
      <c r="M50" s="535">
        <v>57</v>
      </c>
      <c r="N50" s="535">
        <v>60.4</v>
      </c>
      <c r="O50" s="535">
        <v>57.3</v>
      </c>
      <c r="P50" s="535">
        <v>0</v>
      </c>
      <c r="Q50" s="535">
        <v>0</v>
      </c>
      <c r="R50" s="535">
        <v>0</v>
      </c>
      <c r="S50" s="535">
        <v>0</v>
      </c>
      <c r="T50" s="535">
        <v>0</v>
      </c>
    </row>
    <row r="51" spans="1:20">
      <c r="A51" s="2"/>
      <c r="B51" s="2"/>
      <c r="C51" s="194" t="s">
        <v>480</v>
      </c>
      <c r="D51" s="2"/>
      <c r="E51" s="536" t="s">
        <v>232</v>
      </c>
      <c r="F51" s="26"/>
      <c r="G51" s="537"/>
      <c r="H51" s="537"/>
      <c r="I51" s="537"/>
      <c r="J51" s="537">
        <v>14.3</v>
      </c>
      <c r="K51" s="537">
        <v>12.2</v>
      </c>
      <c r="L51" s="537">
        <v>11.6</v>
      </c>
      <c r="M51" s="537">
        <v>12.1</v>
      </c>
      <c r="N51" s="537">
        <v>12.7</v>
      </c>
      <c r="O51" s="537">
        <v>12.7</v>
      </c>
      <c r="P51" s="537">
        <v>0</v>
      </c>
      <c r="Q51" s="537">
        <v>0</v>
      </c>
      <c r="R51" s="537">
        <v>0</v>
      </c>
      <c r="S51" s="537">
        <v>0</v>
      </c>
      <c r="T51" s="537">
        <v>0</v>
      </c>
    </row>
    <row r="52" spans="1:20">
      <c r="A52" s="2"/>
      <c r="B52" s="2"/>
      <c r="C52" s="194" t="s">
        <v>466</v>
      </c>
      <c r="D52" s="2"/>
      <c r="E52" s="536" t="s">
        <v>232</v>
      </c>
      <c r="F52" s="26"/>
      <c r="G52" s="537"/>
      <c r="H52" s="537"/>
      <c r="I52" s="537"/>
      <c r="J52" s="537">
        <v>8.7999999999999972</v>
      </c>
      <c r="K52" s="537">
        <v>8.0499999999999972</v>
      </c>
      <c r="L52" s="537">
        <v>6.7999999999999972</v>
      </c>
      <c r="M52" s="537">
        <v>6.9000000000000057</v>
      </c>
      <c r="N52" s="537">
        <v>7.3000000000000114</v>
      </c>
      <c r="O52" s="537">
        <v>7</v>
      </c>
      <c r="P52" s="537">
        <v>0</v>
      </c>
      <c r="Q52" s="537">
        <v>0</v>
      </c>
      <c r="R52" s="537">
        <v>0</v>
      </c>
      <c r="S52" s="537">
        <v>0</v>
      </c>
      <c r="T52" s="537">
        <v>0</v>
      </c>
    </row>
    <row r="53" spans="1:20">
      <c r="A53" s="2"/>
      <c r="B53" s="2"/>
      <c r="C53" s="74" t="s">
        <v>245</v>
      </c>
      <c r="D53" s="17"/>
      <c r="E53" s="75" t="s">
        <v>232</v>
      </c>
      <c r="F53" s="23"/>
      <c r="G53" s="539"/>
      <c r="H53" s="539"/>
      <c r="I53" s="539"/>
      <c r="J53" s="539">
        <v>81.5</v>
      </c>
      <c r="K53" s="539">
        <v>76.349999999999994</v>
      </c>
      <c r="L53" s="539">
        <v>74.5</v>
      </c>
      <c r="M53" s="539">
        <v>76</v>
      </c>
      <c r="N53" s="539">
        <v>80.400000000000006</v>
      </c>
      <c r="O53" s="539">
        <v>77</v>
      </c>
      <c r="P53" s="539">
        <v>0</v>
      </c>
      <c r="Q53" s="539">
        <v>0</v>
      </c>
      <c r="R53" s="539">
        <v>0</v>
      </c>
      <c r="S53" s="539">
        <v>0</v>
      </c>
      <c r="T53" s="539">
        <v>0</v>
      </c>
    </row>
    <row r="55" spans="1:20">
      <c r="C55" s="15"/>
    </row>
    <row r="56" spans="1:20">
      <c r="G56" s="533">
        <v>2011</v>
      </c>
      <c r="H56" s="533">
        <v>2012</v>
      </c>
      <c r="I56" s="533">
        <v>2013</v>
      </c>
      <c r="J56" s="533">
        <v>2014</v>
      </c>
      <c r="K56" s="533">
        <v>2015</v>
      </c>
      <c r="L56" s="533">
        <v>2016</v>
      </c>
      <c r="M56" s="533">
        <v>2017</v>
      </c>
      <c r="N56" s="533">
        <v>2018</v>
      </c>
      <c r="O56" s="533">
        <v>2019</v>
      </c>
      <c r="P56" s="533">
        <v>2020</v>
      </c>
      <c r="Q56" s="533">
        <v>2021</v>
      </c>
      <c r="R56" s="533">
        <v>2022</v>
      </c>
      <c r="S56" s="533">
        <v>2023</v>
      </c>
      <c r="T56" s="533">
        <v>2024</v>
      </c>
    </row>
    <row r="57" spans="1:20">
      <c r="C57" s="62" t="s">
        <v>1226</v>
      </c>
      <c r="D57" s="63"/>
      <c r="E57" s="63" t="s">
        <v>1227</v>
      </c>
      <c r="F57" s="64"/>
      <c r="G57" s="1363">
        <v>0</v>
      </c>
      <c r="H57" s="1363">
        <v>20</v>
      </c>
      <c r="I57" s="1363">
        <v>22</v>
      </c>
      <c r="J57" s="1363">
        <v>23</v>
      </c>
      <c r="K57" s="1363">
        <v>23</v>
      </c>
      <c r="L57" s="1363">
        <v>23</v>
      </c>
      <c r="M57" s="1363">
        <v>23</v>
      </c>
      <c r="N57" s="1363">
        <v>23</v>
      </c>
      <c r="O57" s="1363">
        <v>24</v>
      </c>
      <c r="P57" s="1363">
        <v>23.2</v>
      </c>
      <c r="Q57" s="1363">
        <v>23</v>
      </c>
      <c r="R57" s="1363">
        <v>28.8</v>
      </c>
      <c r="S57" s="1363">
        <v>30</v>
      </c>
      <c r="T57" s="1363">
        <v>31</v>
      </c>
    </row>
    <row r="58" spans="1:20">
      <c r="C58" s="65" t="s">
        <v>1228</v>
      </c>
      <c r="D58" s="63"/>
      <c r="E58" s="63"/>
      <c r="F58" s="64"/>
      <c r="G58" s="191">
        <f>G57+G57*0.1</f>
        <v>0</v>
      </c>
      <c r="H58" s="191">
        <f t="shared" ref="H58:T58" si="4">H57+H57*0.1</f>
        <v>22</v>
      </c>
      <c r="I58" s="191">
        <f t="shared" si="4"/>
        <v>24.2</v>
      </c>
      <c r="J58" s="191">
        <f t="shared" si="4"/>
        <v>25.3</v>
      </c>
      <c r="K58" s="191">
        <f t="shared" si="4"/>
        <v>25.3</v>
      </c>
      <c r="L58" s="191">
        <f t="shared" si="4"/>
        <v>25.3</v>
      </c>
      <c r="M58" s="191">
        <f t="shared" si="4"/>
        <v>25.3</v>
      </c>
      <c r="N58" s="191">
        <f t="shared" si="4"/>
        <v>25.3</v>
      </c>
      <c r="O58" s="191">
        <f t="shared" si="4"/>
        <v>26.4</v>
      </c>
      <c r="P58" s="191">
        <f t="shared" si="4"/>
        <v>25.52</v>
      </c>
      <c r="Q58" s="191">
        <f t="shared" si="4"/>
        <v>25.3</v>
      </c>
      <c r="R58" s="191">
        <f t="shared" si="4"/>
        <v>31.68</v>
      </c>
      <c r="S58" s="191">
        <f t="shared" si="4"/>
        <v>33</v>
      </c>
      <c r="T58" s="191">
        <f t="shared" si="4"/>
        <v>34.1</v>
      </c>
    </row>
    <row r="60" spans="1:20" ht="18.5">
      <c r="A60" t="s">
        <v>452</v>
      </c>
      <c r="B60" s="102">
        <v>45803</v>
      </c>
      <c r="C60" s="540" t="s">
        <v>407</v>
      </c>
      <c r="D60" s="541"/>
      <c r="E60" s="541"/>
      <c r="F60" s="542"/>
    </row>
    <row r="62" spans="1:20">
      <c r="C62" s="35" t="s">
        <v>469</v>
      </c>
      <c r="D62" s="2"/>
      <c r="E62" s="2"/>
      <c r="F62" s="2"/>
      <c r="G62" s="2"/>
      <c r="H62" s="2"/>
      <c r="I62" s="2"/>
      <c r="J62" s="2"/>
      <c r="K62" s="2"/>
      <c r="L62" s="2"/>
      <c r="M62" s="2"/>
      <c r="N62" s="2"/>
      <c r="O62" s="2"/>
      <c r="P62" s="2"/>
      <c r="Q62" s="2"/>
      <c r="R62" s="2"/>
      <c r="S62" s="2"/>
    </row>
    <row r="63" spans="1:20">
      <c r="C63" s="551"/>
      <c r="D63" s="552"/>
      <c r="E63" s="19" t="s">
        <v>281</v>
      </c>
      <c r="F63" s="19" t="s">
        <v>282</v>
      </c>
      <c r="G63" s="553">
        <f t="shared" ref="G63:Q63" si="5">G$1</f>
        <v>2011</v>
      </c>
      <c r="H63" s="553">
        <f t="shared" si="5"/>
        <v>2012</v>
      </c>
      <c r="I63" s="553">
        <f t="shared" si="5"/>
        <v>2013</v>
      </c>
      <c r="J63" s="553">
        <f t="shared" si="5"/>
        <v>2014</v>
      </c>
      <c r="K63" s="553">
        <f t="shared" si="5"/>
        <v>2015</v>
      </c>
      <c r="L63" s="553">
        <f t="shared" si="5"/>
        <v>2016</v>
      </c>
      <c r="M63" s="553">
        <f t="shared" si="5"/>
        <v>2017</v>
      </c>
      <c r="N63" s="553">
        <f t="shared" si="5"/>
        <v>2018</v>
      </c>
      <c r="O63" s="553">
        <f t="shared" si="5"/>
        <v>2019</v>
      </c>
      <c r="P63" s="553">
        <f t="shared" si="5"/>
        <v>2020</v>
      </c>
      <c r="Q63" s="553">
        <f t="shared" si="5"/>
        <v>2021</v>
      </c>
      <c r="R63" s="553">
        <f>R$1</f>
        <v>2022</v>
      </c>
      <c r="S63" s="553">
        <f>S$1</f>
        <v>2023</v>
      </c>
      <c r="T63" s="553">
        <f>T$1</f>
        <v>2024</v>
      </c>
    </row>
    <row r="64" spans="1:20">
      <c r="C64" s="560" t="s">
        <v>436</v>
      </c>
      <c r="D64" s="561" t="s">
        <v>472</v>
      </c>
      <c r="E64" s="561" t="s">
        <v>232</v>
      </c>
      <c r="F64" s="561" t="s">
        <v>289</v>
      </c>
      <c r="G64" s="562">
        <v>1.3354423076923079</v>
      </c>
      <c r="H64" s="562">
        <v>1.395775</v>
      </c>
      <c r="I64" s="562">
        <v>1.3501807692307692</v>
      </c>
      <c r="J64" s="562">
        <v>1.2856192307692309</v>
      </c>
      <c r="K64" s="562">
        <v>1.1493730769230768</v>
      </c>
      <c r="L64" s="562">
        <v>1.1054981132075477</v>
      </c>
      <c r="M64" s="562">
        <v>1.2325326923076925</v>
      </c>
      <c r="N64" s="562">
        <v>1.4371865384615385</v>
      </c>
      <c r="O64" s="562">
        <v>1.4404615384615385</v>
      </c>
      <c r="P64" s="562">
        <v>1.2599</v>
      </c>
      <c r="Q64" s="562">
        <v>1.4300999999999999</v>
      </c>
      <c r="R64" s="562">
        <v>1.8484</v>
      </c>
      <c r="S64" s="562">
        <v>1.7948</v>
      </c>
      <c r="T64" s="562">
        <v>1.6943999999999999</v>
      </c>
    </row>
    <row r="65" spans="1:20">
      <c r="C65" s="560" t="s">
        <v>481</v>
      </c>
      <c r="D65" s="561" t="s">
        <v>472</v>
      </c>
      <c r="E65" s="561" t="s">
        <v>232</v>
      </c>
      <c r="F65" s="561" t="s">
        <v>289</v>
      </c>
      <c r="G65" s="562">
        <v>1.4995346153846152</v>
      </c>
      <c r="H65" s="562">
        <v>1.5657750000000008</v>
      </c>
      <c r="I65" s="562">
        <v>1.5367346153846151</v>
      </c>
      <c r="J65" s="562">
        <v>1.484582692307693</v>
      </c>
      <c r="K65" s="562">
        <v>1.3531096153846158</v>
      </c>
      <c r="L65" s="562">
        <v>1.303935849056604</v>
      </c>
      <c r="M65" s="562">
        <v>1.3766596153846153</v>
      </c>
      <c r="N65" s="562">
        <v>1.5047999999999997</v>
      </c>
      <c r="O65" s="562">
        <v>1.5068519230769237</v>
      </c>
      <c r="P65" s="562">
        <v>1.3551</v>
      </c>
      <c r="Q65" s="562">
        <v>1.5513999999999999</v>
      </c>
      <c r="R65" s="562">
        <v>1.8092999999999999</v>
      </c>
      <c r="S65" s="562">
        <v>1.8832</v>
      </c>
      <c r="T65" s="562">
        <v>1.8210999999999999</v>
      </c>
    </row>
    <row r="66" spans="1:20">
      <c r="C66" s="557" t="s">
        <v>482</v>
      </c>
      <c r="D66" s="558" t="s">
        <v>472</v>
      </c>
      <c r="E66" s="561" t="s">
        <v>232</v>
      </c>
      <c r="F66" s="561" t="s">
        <v>289</v>
      </c>
      <c r="G66" s="559"/>
      <c r="H66" s="559"/>
      <c r="I66" s="562">
        <v>1.5109961538461538</v>
      </c>
      <c r="J66" s="562">
        <v>1.4758634615384616</v>
      </c>
      <c r="K66" s="562">
        <v>1.3455923076923073</v>
      </c>
      <c r="L66" s="562">
        <v>1.2813641509433962</v>
      </c>
      <c r="M66" s="562">
        <v>1.3543192307692304</v>
      </c>
      <c r="N66" s="562">
        <v>1.482503846153846</v>
      </c>
      <c r="O66" s="562">
        <v>1.4831807692307695</v>
      </c>
      <c r="P66" s="562">
        <v>1.3386</v>
      </c>
      <c r="Q66" s="562">
        <v>1.5281</v>
      </c>
      <c r="R66" s="562">
        <v>1.7653000000000001</v>
      </c>
      <c r="S66" s="562">
        <v>1.8575999999999999</v>
      </c>
      <c r="T66" s="562">
        <v>1.7837000000000001</v>
      </c>
    </row>
    <row r="67" spans="1:20">
      <c r="C67" s="560" t="s">
        <v>483</v>
      </c>
      <c r="D67" s="561" t="s">
        <v>472</v>
      </c>
      <c r="E67" s="561" t="s">
        <v>232</v>
      </c>
      <c r="F67" s="561" t="s">
        <v>289</v>
      </c>
      <c r="G67" s="562">
        <v>1.5374288461538457</v>
      </c>
      <c r="H67" s="562">
        <v>1.618167307692308</v>
      </c>
      <c r="I67" s="562">
        <v>1.5942769230769234</v>
      </c>
      <c r="J67" s="562">
        <v>1.5448038461538458</v>
      </c>
      <c r="K67" s="562">
        <v>1.4149634615384614</v>
      </c>
      <c r="L67" s="562">
        <v>1.3624056603773584</v>
      </c>
      <c r="M67" s="562">
        <v>1.4430365384615387</v>
      </c>
      <c r="N67" s="562">
        <v>1.571490384615384</v>
      </c>
      <c r="O67" s="562">
        <v>1.5692942307692308</v>
      </c>
      <c r="P67" s="562">
        <v>1.4188000000000001</v>
      </c>
      <c r="Q67" s="562">
        <v>1.6123000000000001</v>
      </c>
      <c r="R67" s="562">
        <v>1.8633999999999999</v>
      </c>
      <c r="S67" s="562">
        <v>1.9389000000000001</v>
      </c>
      <c r="T67" s="562">
        <v>1.8816999999999999</v>
      </c>
    </row>
    <row r="68" spans="1:20">
      <c r="C68" s="563" t="s">
        <v>484</v>
      </c>
      <c r="D68" s="63"/>
      <c r="E68" s="63"/>
      <c r="F68" s="64"/>
      <c r="G68" s="69">
        <f t="shared" ref="G68:T68" si="6">(G67+G65)/2</f>
        <v>1.5184817307692304</v>
      </c>
      <c r="H68" s="70">
        <f t="shared" si="6"/>
        <v>1.5919711538461545</v>
      </c>
      <c r="I68" s="70">
        <f t="shared" si="6"/>
        <v>1.5655057692307692</v>
      </c>
      <c r="J68" s="70">
        <f t="shared" si="6"/>
        <v>1.5146932692307695</v>
      </c>
      <c r="K68" s="70">
        <f t="shared" si="6"/>
        <v>1.3840365384615385</v>
      </c>
      <c r="L68" s="70">
        <f t="shared" si="6"/>
        <v>1.3331707547169813</v>
      </c>
      <c r="M68" s="70">
        <f t="shared" si="6"/>
        <v>1.409848076923077</v>
      </c>
      <c r="N68" s="70">
        <f t="shared" si="6"/>
        <v>1.5381451923076919</v>
      </c>
      <c r="O68" s="70">
        <f t="shared" si="6"/>
        <v>1.5380730769230773</v>
      </c>
      <c r="P68" s="70">
        <f t="shared" si="6"/>
        <v>1.3869500000000001</v>
      </c>
      <c r="Q68" s="70">
        <f t="shared" si="6"/>
        <v>1.58185</v>
      </c>
      <c r="R68" s="70">
        <f t="shared" si="6"/>
        <v>1.8363499999999999</v>
      </c>
      <c r="S68" s="29">
        <f t="shared" si="6"/>
        <v>1.9110499999999999</v>
      </c>
      <c r="T68" s="29">
        <f t="shared" si="6"/>
        <v>1.8513999999999999</v>
      </c>
    </row>
    <row r="69" spans="1:20">
      <c r="C69" s="560" t="s">
        <v>485</v>
      </c>
      <c r="D69" s="561" t="s">
        <v>472</v>
      </c>
      <c r="E69" s="561" t="s">
        <v>232</v>
      </c>
      <c r="F69" s="561" t="s">
        <v>289</v>
      </c>
      <c r="G69" s="1317">
        <v>0.85400192307692313</v>
      </c>
      <c r="H69" s="1317">
        <v>0.88225000000000009</v>
      </c>
      <c r="I69" s="1317">
        <v>0.87311730769230733</v>
      </c>
      <c r="J69" s="1317">
        <v>0.85647307692307706</v>
      </c>
      <c r="K69" s="1317">
        <v>0.78665961538461526</v>
      </c>
      <c r="L69" s="1317">
        <v>0.70924716981132052</v>
      </c>
      <c r="M69" s="1317">
        <v>0.74217307692307655</v>
      </c>
      <c r="N69" s="1317">
        <v>0.82106730769230762</v>
      </c>
      <c r="O69" s="1317">
        <v>0.85634807692307702</v>
      </c>
      <c r="P69" s="1317">
        <v>0.84489999999999998</v>
      </c>
      <c r="Q69" s="1317">
        <v>0.85340000000000005</v>
      </c>
      <c r="R69" s="1317">
        <v>0.84440000000000004</v>
      </c>
      <c r="S69" s="1317">
        <v>0.98019999999999996</v>
      </c>
      <c r="T69" s="1317">
        <v>0.98680000000000001</v>
      </c>
    </row>
    <row r="71" spans="1:20" ht="18.5">
      <c r="A71" t="s">
        <v>452</v>
      </c>
      <c r="B71" s="102">
        <v>45803</v>
      </c>
      <c r="C71" s="571" t="s">
        <v>486</v>
      </c>
      <c r="D71" s="572"/>
      <c r="E71" s="572"/>
      <c r="F71" s="573"/>
    </row>
    <row r="73" spans="1:20">
      <c r="C73" s="35" t="s">
        <v>487</v>
      </c>
      <c r="D73" s="2"/>
      <c r="E73" s="2"/>
      <c r="F73" s="2"/>
    </row>
    <row r="74" spans="1:20">
      <c r="C74" s="569"/>
      <c r="D74" s="570"/>
      <c r="E74" s="19" t="s">
        <v>281</v>
      </c>
      <c r="F74" s="19" t="s">
        <v>282</v>
      </c>
      <c r="G74" s="553">
        <f>G$1</f>
        <v>2011</v>
      </c>
      <c r="H74" s="553">
        <f t="shared" ref="H74:Q74" si="7">H$1</f>
        <v>2012</v>
      </c>
      <c r="I74" s="553">
        <f t="shared" si="7"/>
        <v>2013</v>
      </c>
      <c r="J74" s="553">
        <f t="shared" si="7"/>
        <v>2014</v>
      </c>
      <c r="K74" s="553">
        <f t="shared" si="7"/>
        <v>2015</v>
      </c>
      <c r="L74" s="553">
        <f t="shared" si="7"/>
        <v>2016</v>
      </c>
      <c r="M74" s="553">
        <f t="shared" si="7"/>
        <v>2017</v>
      </c>
      <c r="N74" s="553">
        <f t="shared" si="7"/>
        <v>2018</v>
      </c>
      <c r="O74" s="553">
        <f t="shared" si="7"/>
        <v>2019</v>
      </c>
      <c r="P74" s="553">
        <f t="shared" si="7"/>
        <v>2020</v>
      </c>
      <c r="Q74" s="553">
        <f t="shared" si="7"/>
        <v>2021</v>
      </c>
      <c r="R74" s="553">
        <f>R$1</f>
        <v>2022</v>
      </c>
      <c r="S74" s="553">
        <f>S$1</f>
        <v>2023</v>
      </c>
      <c r="T74" s="553">
        <f>T$1</f>
        <v>2024</v>
      </c>
    </row>
    <row r="75" spans="1:20">
      <c r="C75" s="554" t="s">
        <v>488</v>
      </c>
      <c r="D75" s="555"/>
      <c r="E75" s="19" t="s">
        <v>489</v>
      </c>
      <c r="F75" s="24" t="s">
        <v>287</v>
      </c>
      <c r="G75" s="574">
        <v>31.663613233272599</v>
      </c>
      <c r="H75" s="574">
        <v>34.574898657372501</v>
      </c>
      <c r="I75" s="574">
        <v>33.9785112017505</v>
      </c>
      <c r="J75" s="574">
        <v>32.282112902812599</v>
      </c>
      <c r="K75" s="574">
        <v>28.997088965541099</v>
      </c>
      <c r="L75" s="574">
        <v>25.7817124511716</v>
      </c>
      <c r="M75" s="574">
        <v>26.3844399858915</v>
      </c>
      <c r="N75" s="574">
        <v>29.636945499747899</v>
      </c>
      <c r="O75" s="574">
        <v>26.243111777508201</v>
      </c>
      <c r="P75" s="574">
        <v>23.6004052911331</v>
      </c>
      <c r="Q75" s="574">
        <v>40.271782316504598</v>
      </c>
    </row>
    <row r="76" spans="1:20">
      <c r="C76" s="560" t="s">
        <v>490</v>
      </c>
      <c r="D76" s="561"/>
      <c r="E76" s="21" t="s">
        <v>491</v>
      </c>
      <c r="F76" s="21" t="s">
        <v>232</v>
      </c>
      <c r="G76" s="1363">
        <v>71.645200619999997</v>
      </c>
      <c r="H76" s="1363">
        <v>77.877525579999997</v>
      </c>
      <c r="I76" s="1363">
        <v>78.870164320000001</v>
      </c>
      <c r="J76" s="1363">
        <v>78.624418169999998</v>
      </c>
      <c r="K76" s="1363">
        <v>76.925753409999999</v>
      </c>
      <c r="L76" s="1363">
        <v>77.287055359999997</v>
      </c>
      <c r="M76" s="1363">
        <v>79.496645240000007</v>
      </c>
      <c r="N76" s="1363">
        <v>85.240148880000007</v>
      </c>
      <c r="O76" s="1363">
        <v>85.245295830000003</v>
      </c>
      <c r="P76" s="1363">
        <v>81.631909609999994</v>
      </c>
      <c r="Q76" s="1363">
        <v>89.211629380000005</v>
      </c>
      <c r="R76" s="1363">
        <v>112.1690207</v>
      </c>
      <c r="S76" s="1363">
        <v>118.9445906</v>
      </c>
      <c r="T76" s="1363">
        <v>120.14382569999999</v>
      </c>
    </row>
    <row r="78" spans="1:20" ht="18.5">
      <c r="A78" t="s">
        <v>452</v>
      </c>
      <c r="B78" s="102">
        <v>45803</v>
      </c>
      <c r="C78" s="547" t="s">
        <v>492</v>
      </c>
      <c r="D78" s="548"/>
      <c r="E78" s="548"/>
      <c r="F78" s="549"/>
      <c r="G78" s="2"/>
      <c r="H78" s="2"/>
      <c r="I78" s="2"/>
      <c r="J78" s="2"/>
      <c r="K78" s="2"/>
      <c r="L78" s="2"/>
      <c r="M78" s="2"/>
      <c r="N78" s="2"/>
      <c r="O78" s="2"/>
      <c r="P78" s="2"/>
      <c r="Q78" s="2"/>
      <c r="R78" s="2"/>
      <c r="S78" s="2"/>
      <c r="T78" s="2"/>
    </row>
    <row r="79" spans="1:20">
      <c r="A79" s="2"/>
      <c r="C79" s="2"/>
      <c r="D79" s="2"/>
      <c r="E79" s="2"/>
      <c r="F79" s="2"/>
      <c r="G79" s="447"/>
      <c r="H79" s="447"/>
      <c r="I79" s="447"/>
      <c r="J79" s="447"/>
      <c r="K79" s="447"/>
      <c r="L79" s="447"/>
      <c r="M79" s="447"/>
      <c r="N79" s="2"/>
      <c r="O79" s="2"/>
      <c r="P79" s="2"/>
      <c r="Q79" s="2"/>
      <c r="R79" s="2"/>
      <c r="S79" s="2"/>
      <c r="T79" s="2"/>
    </row>
    <row r="80" spans="1:20">
      <c r="A80" s="2"/>
      <c r="C80" s="35" t="s">
        <v>493</v>
      </c>
      <c r="D80" s="2"/>
      <c r="E80" s="2"/>
      <c r="F80" s="2"/>
      <c r="G80" s="447"/>
      <c r="H80" s="447"/>
      <c r="I80" s="447"/>
      <c r="J80" s="447"/>
      <c r="K80" s="447"/>
      <c r="L80" s="447"/>
      <c r="M80" s="447"/>
      <c r="N80" s="2"/>
      <c r="O80" s="2"/>
      <c r="P80" s="2"/>
      <c r="Q80" s="2"/>
      <c r="R80" s="2"/>
      <c r="S80" s="2"/>
      <c r="T80" s="2"/>
    </row>
    <row r="81" spans="1:20">
      <c r="A81" s="2"/>
      <c r="C81" s="16"/>
      <c r="D81" s="17"/>
      <c r="E81" s="17"/>
      <c r="F81" s="17"/>
      <c r="G81" s="533">
        <v>2011</v>
      </c>
      <c r="H81" s="533">
        <v>2012</v>
      </c>
      <c r="I81" s="533">
        <v>2013</v>
      </c>
      <c r="J81" s="533">
        <v>2014</v>
      </c>
      <c r="K81" s="533">
        <v>2015</v>
      </c>
      <c r="L81" s="533">
        <v>2016</v>
      </c>
      <c r="M81" s="533">
        <v>2017</v>
      </c>
      <c r="N81" s="533">
        <v>2018</v>
      </c>
      <c r="O81" s="533">
        <v>2019</v>
      </c>
      <c r="P81" s="533">
        <v>2020</v>
      </c>
      <c r="Q81" s="533">
        <v>2021</v>
      </c>
      <c r="R81" s="533">
        <v>2022</v>
      </c>
      <c r="S81" s="533">
        <v>2023</v>
      </c>
      <c r="T81" s="533">
        <v>2024</v>
      </c>
    </row>
    <row r="82" spans="1:20">
      <c r="A82" s="2"/>
      <c r="C82" s="194" t="s">
        <v>454</v>
      </c>
      <c r="D82" s="2"/>
      <c r="E82" s="536" t="s">
        <v>494</v>
      </c>
      <c r="F82" s="26"/>
      <c r="G82" s="192">
        <v>100</v>
      </c>
      <c r="H82" s="192">
        <v>103.20021881838073</v>
      </c>
      <c r="I82" s="192">
        <v>110.53063457330417</v>
      </c>
      <c r="J82" s="192">
        <v>116.19256017505469</v>
      </c>
      <c r="K82" s="192">
        <v>120.35010940919038</v>
      </c>
      <c r="L82" s="192">
        <v>113.56673960612693</v>
      </c>
      <c r="M82" s="192">
        <v>117.75164113785559</v>
      </c>
      <c r="N82" s="192">
        <v>118.68161925601751</v>
      </c>
      <c r="O82" s="192">
        <v>127.7352297592998</v>
      </c>
      <c r="P82" s="192">
        <v>128.61050328227574</v>
      </c>
      <c r="Q82" s="192">
        <v>132.00218818380745</v>
      </c>
      <c r="R82" s="192">
        <v>152.48905908096282</v>
      </c>
      <c r="S82" s="192">
        <v>292.61487964989067</v>
      </c>
      <c r="T82" s="192">
        <v>0</v>
      </c>
    </row>
    <row r="83" spans="1:20">
      <c r="A83" s="2"/>
      <c r="C83" s="66" t="s">
        <v>193</v>
      </c>
      <c r="D83" s="21"/>
      <c r="E83" s="550" t="s">
        <v>232</v>
      </c>
      <c r="F83" s="27"/>
      <c r="G83" s="193">
        <v>100</v>
      </c>
      <c r="H83" s="193">
        <v>106.88524590163935</v>
      </c>
      <c r="I83" s="193">
        <v>106.8032786885246</v>
      </c>
      <c r="J83" s="193">
        <v>102.5</v>
      </c>
      <c r="K83" s="193">
        <v>98.852459016393453</v>
      </c>
      <c r="L83" s="193">
        <v>93.442622950819668</v>
      </c>
      <c r="M83" s="193">
        <v>90.503688524590174</v>
      </c>
      <c r="N83" s="193">
        <v>99.082786885245909</v>
      </c>
      <c r="O83" s="193">
        <v>99.58442622950821</v>
      </c>
      <c r="P83" s="193">
        <v>92.025819672131149</v>
      </c>
      <c r="Q83" s="193">
        <v>113.21803278688523</v>
      </c>
      <c r="R83" s="193">
        <v>181.14344262295083</v>
      </c>
      <c r="S83" s="193">
        <v>219.0344262295082</v>
      </c>
      <c r="T83" s="193">
        <v>0</v>
      </c>
    </row>
    <row r="85" spans="1:20" ht="18.5">
      <c r="A85" t="s">
        <v>452</v>
      </c>
      <c r="B85" s="102">
        <v>45803</v>
      </c>
      <c r="C85" s="547" t="s">
        <v>495</v>
      </c>
      <c r="D85" s="548"/>
      <c r="E85" s="548"/>
      <c r="F85" s="549"/>
    </row>
    <row r="87" spans="1:20">
      <c r="C87" s="15" t="s">
        <v>496</v>
      </c>
    </row>
    <row r="89" spans="1:20">
      <c r="C89" s="1325" t="s">
        <v>336</v>
      </c>
      <c r="D89" s="1326"/>
      <c r="E89" s="1327"/>
      <c r="F89" s="1328"/>
      <c r="G89" s="1355">
        <v>2011</v>
      </c>
      <c r="H89" s="1356">
        <v>2012</v>
      </c>
      <c r="I89" s="1356">
        <v>2013</v>
      </c>
      <c r="J89" s="1356">
        <v>2014</v>
      </c>
      <c r="K89" s="1356">
        <v>2015</v>
      </c>
      <c r="L89" s="1356">
        <v>2016</v>
      </c>
      <c r="M89" s="1356">
        <v>2017</v>
      </c>
      <c r="N89" s="1356">
        <v>2018</v>
      </c>
      <c r="O89" s="1356">
        <v>2019</v>
      </c>
      <c r="P89" s="1356">
        <v>2020</v>
      </c>
      <c r="Q89" s="1356">
        <v>2021</v>
      </c>
      <c r="R89" s="1356">
        <v>2022</v>
      </c>
      <c r="S89" s="1356">
        <v>2023</v>
      </c>
      <c r="T89" s="1357">
        <v>2024</v>
      </c>
    </row>
    <row r="90" spans="1:20">
      <c r="C90" s="472" t="s">
        <v>337</v>
      </c>
      <c r="D90" s="467"/>
      <c r="E90" s="467"/>
      <c r="F90" s="467"/>
      <c r="G90" s="1336"/>
      <c r="H90" s="1337"/>
      <c r="I90" s="1337"/>
      <c r="J90" s="1337"/>
      <c r="K90" s="1337"/>
      <c r="L90" s="1337"/>
      <c r="M90" s="1337"/>
      <c r="N90" s="1337"/>
      <c r="O90" s="1337"/>
      <c r="P90" s="1337"/>
      <c r="Q90" s="1337"/>
      <c r="R90" s="1337"/>
      <c r="S90" s="1338"/>
      <c r="T90" s="1339"/>
    </row>
    <row r="91" spans="1:20">
      <c r="C91" s="497" t="s">
        <v>341</v>
      </c>
      <c r="D91" s="1331"/>
      <c r="E91" s="1332"/>
      <c r="F91" s="1332"/>
      <c r="G91" s="505">
        <v>2018799902.6179156</v>
      </c>
      <c r="H91" s="319">
        <v>2147075117.8364193</v>
      </c>
      <c r="I91" s="319">
        <v>2345141310.331892</v>
      </c>
      <c r="J91" s="319">
        <v>2179516805.3585987</v>
      </c>
      <c r="K91" s="319">
        <v>2189784534.0549407</v>
      </c>
      <c r="L91" s="319">
        <v>2039415995.4981427</v>
      </c>
      <c r="M91" s="319">
        <v>2071520817.738826</v>
      </c>
      <c r="N91" s="319">
        <v>2125133409.1329706</v>
      </c>
      <c r="O91" s="319">
        <v>2140072335.3812082</v>
      </c>
      <c r="P91" s="319">
        <v>2024412853.7416446</v>
      </c>
      <c r="Q91" s="319">
        <v>2113989485.2922189</v>
      </c>
      <c r="R91" s="319">
        <v>2657319612.6489244</v>
      </c>
      <c r="S91" s="319">
        <v>3272862826.32231</v>
      </c>
      <c r="T91" s="423">
        <v>3101159987.3172898</v>
      </c>
    </row>
    <row r="92" spans="1:20">
      <c r="C92" s="187" t="s">
        <v>420</v>
      </c>
      <c r="D92" s="498"/>
      <c r="E92" s="96"/>
      <c r="F92" s="96"/>
      <c r="G92" s="506">
        <v>1150715944.4922118</v>
      </c>
      <c r="H92" s="312">
        <v>1223832817.166759</v>
      </c>
      <c r="I92" s="312">
        <v>1336730546.8891783</v>
      </c>
      <c r="J92" s="312">
        <v>1242324579.0544012</v>
      </c>
      <c r="K92" s="312">
        <v>1248177184.4113162</v>
      </c>
      <c r="L92" s="312">
        <v>1162467117.4339414</v>
      </c>
      <c r="M92" s="312">
        <v>1180766866.1111307</v>
      </c>
      <c r="N92" s="312">
        <v>1211326043.2057931</v>
      </c>
      <c r="O92" s="312">
        <v>1219841231.1672885</v>
      </c>
      <c r="P92" s="312">
        <v>1153915326.6327374</v>
      </c>
      <c r="Q92" s="312">
        <v>1204974006.6165648</v>
      </c>
      <c r="R92" s="312">
        <v>1514672179.2098868</v>
      </c>
      <c r="S92" s="312">
        <v>1865531811.0037165</v>
      </c>
      <c r="T92" s="313">
        <v>1767661192.7708549</v>
      </c>
    </row>
    <row r="93" spans="1:20">
      <c r="C93" s="187" t="s">
        <v>193</v>
      </c>
      <c r="D93" s="498"/>
      <c r="E93" s="498"/>
      <c r="F93" s="96"/>
      <c r="G93" s="506">
        <v>565263972.73301637</v>
      </c>
      <c r="H93" s="312">
        <v>601181032.99419749</v>
      </c>
      <c r="I93" s="312">
        <v>656639566.89292979</v>
      </c>
      <c r="J93" s="312">
        <v>610264705.5004077</v>
      </c>
      <c r="K93" s="312">
        <v>613139669.53538346</v>
      </c>
      <c r="L93" s="312">
        <v>571036478.73948002</v>
      </c>
      <c r="M93" s="312">
        <v>580025828.96687138</v>
      </c>
      <c r="N93" s="312">
        <v>595037354.55723178</v>
      </c>
      <c r="O93" s="312">
        <v>599220253.9067384</v>
      </c>
      <c r="P93" s="312">
        <v>566835599.04766059</v>
      </c>
      <c r="Q93" s="312">
        <v>591917055.88182139</v>
      </c>
      <c r="R93" s="312">
        <v>744049491.54169893</v>
      </c>
      <c r="S93" s="312">
        <v>916401591.37024689</v>
      </c>
      <c r="T93" s="313">
        <v>868324796.44884121</v>
      </c>
    </row>
    <row r="94" spans="1:20">
      <c r="C94" s="187" t="s">
        <v>421</v>
      </c>
      <c r="D94" s="498"/>
      <c r="E94" s="498"/>
      <c r="F94" s="96"/>
      <c r="G94" s="506">
        <v>121127994.15707493</v>
      </c>
      <c r="H94" s="312">
        <v>128824507.07018515</v>
      </c>
      <c r="I94" s="312">
        <v>140708478.61991352</v>
      </c>
      <c r="J94" s="312">
        <v>130771008.32151592</v>
      </c>
      <c r="K94" s="312">
        <v>131387072.04329644</v>
      </c>
      <c r="L94" s="312">
        <v>122364959.72988856</v>
      </c>
      <c r="M94" s="312">
        <v>124291249.06432956</v>
      </c>
      <c r="N94" s="312">
        <v>127508004.54797822</v>
      </c>
      <c r="O94" s="312">
        <v>128404340.12287249</v>
      </c>
      <c r="P94" s="312">
        <v>121464771.22449867</v>
      </c>
      <c r="Q94" s="312">
        <v>126839369.11753313</v>
      </c>
      <c r="R94" s="312">
        <v>159439176.75893545</v>
      </c>
      <c r="S94" s="312">
        <v>196371769.57933858</v>
      </c>
      <c r="T94" s="313">
        <v>186069599.23903739</v>
      </c>
    </row>
    <row r="95" spans="1:20">
      <c r="C95" s="187" t="s">
        <v>423</v>
      </c>
      <c r="D95" s="498"/>
      <c r="E95" s="498"/>
      <c r="F95" s="96"/>
      <c r="G95" s="506">
        <v>141315993.18325409</v>
      </c>
      <c r="H95" s="312">
        <v>150295258.24854937</v>
      </c>
      <c r="I95" s="312">
        <v>164159891.72323245</v>
      </c>
      <c r="J95" s="312">
        <v>152566176.37510192</v>
      </c>
      <c r="K95" s="312">
        <v>153284917.38384587</v>
      </c>
      <c r="L95" s="312">
        <v>142759119.68487</v>
      </c>
      <c r="M95" s="312">
        <v>145006457.24171785</v>
      </c>
      <c r="N95" s="312">
        <v>148759338.63930795</v>
      </c>
      <c r="O95" s="312">
        <v>149805063.4766846</v>
      </c>
      <c r="P95" s="312">
        <v>141708899.76191515</v>
      </c>
      <c r="Q95" s="312">
        <v>147979263.97045535</v>
      </c>
      <c r="R95" s="312">
        <v>186012372.88542473</v>
      </c>
      <c r="S95" s="312">
        <v>229100397.84256172</v>
      </c>
      <c r="T95" s="313">
        <v>217081199.1122103</v>
      </c>
    </row>
    <row r="96" spans="1:20">
      <c r="C96" s="187" t="s">
        <v>426</v>
      </c>
      <c r="D96" s="498"/>
      <c r="E96" s="498"/>
      <c r="F96" s="96"/>
      <c r="G96" s="506">
        <v>40375998.052358314</v>
      </c>
      <c r="H96" s="312">
        <v>42941502.35672839</v>
      </c>
      <c r="I96" s="312">
        <v>46902826.206637844</v>
      </c>
      <c r="J96" s="312">
        <v>43590336.107171975</v>
      </c>
      <c r="K96" s="312">
        <v>43795690.681098811</v>
      </c>
      <c r="L96" s="312">
        <v>40788319.909962855</v>
      </c>
      <c r="M96" s="312">
        <v>41430416.354776524</v>
      </c>
      <c r="N96" s="312">
        <v>42502668.18265941</v>
      </c>
      <c r="O96" s="312">
        <v>42801446.707624167</v>
      </c>
      <c r="P96" s="312">
        <v>40488257.074832894</v>
      </c>
      <c r="Q96" s="312">
        <v>42279789.70584438</v>
      </c>
      <c r="R96" s="312">
        <v>53146392.252978489</v>
      </c>
      <c r="S96" s="312">
        <v>65457256.526446201</v>
      </c>
      <c r="T96" s="313">
        <v>62023199.746345796</v>
      </c>
    </row>
    <row r="97" spans="3:20">
      <c r="C97" s="472" t="s">
        <v>345</v>
      </c>
      <c r="D97" s="467"/>
      <c r="E97" s="467"/>
      <c r="F97" s="467"/>
      <c r="G97" s="1340"/>
      <c r="H97" s="1341"/>
      <c r="I97" s="1341"/>
      <c r="J97" s="1341"/>
      <c r="K97" s="1341"/>
      <c r="L97" s="1341"/>
      <c r="M97" s="1341"/>
      <c r="N97" s="1341"/>
      <c r="O97" s="1342"/>
      <c r="P97" s="1342"/>
      <c r="Q97" s="1342"/>
      <c r="R97" s="1342"/>
      <c r="S97" s="1343"/>
      <c r="T97" s="1344"/>
    </row>
    <row r="98" spans="3:20">
      <c r="C98" s="497" t="s">
        <v>341</v>
      </c>
      <c r="D98" s="1331"/>
      <c r="E98" s="1332"/>
      <c r="F98" s="1332"/>
      <c r="G98" s="1318">
        <v>261219958.1283631</v>
      </c>
      <c r="H98" s="1319">
        <v>290858626.10306847</v>
      </c>
      <c r="I98" s="1319">
        <v>328468964.19360006</v>
      </c>
      <c r="J98" s="1319">
        <v>338140142.0659982</v>
      </c>
      <c r="K98" s="1319">
        <v>363716924.96723127</v>
      </c>
      <c r="L98" s="1319">
        <v>363956264.97733551</v>
      </c>
      <c r="M98" s="1319">
        <v>394300556.7121886</v>
      </c>
      <c r="N98" s="1319">
        <v>427774186.16606498</v>
      </c>
      <c r="O98" s="1319">
        <v>454660576.15793622</v>
      </c>
      <c r="P98" s="1319">
        <v>458089650.73570764</v>
      </c>
      <c r="Q98" s="1319">
        <v>482681602.03537613</v>
      </c>
      <c r="R98" s="1319">
        <v>614156996.92131341</v>
      </c>
      <c r="S98" s="1319">
        <v>832843510.20915127</v>
      </c>
      <c r="T98" s="1330">
        <v>794806236.12914097</v>
      </c>
    </row>
    <row r="99" spans="3:20">
      <c r="C99" s="187" t="s">
        <v>420</v>
      </c>
      <c r="D99" s="498"/>
      <c r="E99" s="96"/>
      <c r="F99" s="96"/>
      <c r="G99" s="1320">
        <v>148895376.13316697</v>
      </c>
      <c r="H99" s="1321">
        <v>165789416.87874901</v>
      </c>
      <c r="I99" s="1321">
        <v>187227309.59035203</v>
      </c>
      <c r="J99" s="1321">
        <v>192739880.97761896</v>
      </c>
      <c r="K99" s="1321">
        <v>207318647.23132181</v>
      </c>
      <c r="L99" s="1321">
        <v>207455071.03708121</v>
      </c>
      <c r="M99" s="1321">
        <v>224751317.32594749</v>
      </c>
      <c r="N99" s="1321">
        <v>243831286.11465701</v>
      </c>
      <c r="O99" s="1321">
        <v>259156528.41002363</v>
      </c>
      <c r="P99" s="1321">
        <v>261111100.91935334</v>
      </c>
      <c r="Q99" s="1321">
        <v>275128513.16016436</v>
      </c>
      <c r="R99" s="1321">
        <v>350069488.2451486</v>
      </c>
      <c r="S99" s="1321">
        <v>474720800.81921619</v>
      </c>
      <c r="T99" s="1324">
        <v>453039554.59361029</v>
      </c>
    </row>
    <row r="100" spans="3:20">
      <c r="C100" s="187" t="s">
        <v>193</v>
      </c>
      <c r="D100" s="498"/>
      <c r="E100" s="96"/>
      <c r="F100" s="96"/>
      <c r="G100" s="1320">
        <v>73141588.27594167</v>
      </c>
      <c r="H100" s="1321">
        <v>81440415.308859184</v>
      </c>
      <c r="I100" s="1321">
        <v>91971309.974208027</v>
      </c>
      <c r="J100" s="1321">
        <v>94679239.778479502</v>
      </c>
      <c r="K100" s="1321">
        <v>101840738.99082476</v>
      </c>
      <c r="L100" s="1321">
        <v>101907754.19365396</v>
      </c>
      <c r="M100" s="1321">
        <v>110404155.87941281</v>
      </c>
      <c r="N100" s="1321">
        <v>119776772.12649821</v>
      </c>
      <c r="O100" s="1321">
        <v>127304961.32422215</v>
      </c>
      <c r="P100" s="1321">
        <v>128265102.20599815</v>
      </c>
      <c r="Q100" s="1321">
        <v>135150848.56990534</v>
      </c>
      <c r="R100" s="1321">
        <v>171963959.13796777</v>
      </c>
      <c r="S100" s="1321">
        <v>233196182.85856238</v>
      </c>
      <c r="T100" s="1324">
        <v>222545746.1161595</v>
      </c>
    </row>
    <row r="101" spans="3:20">
      <c r="C101" s="187" t="s">
        <v>421</v>
      </c>
      <c r="D101" s="498"/>
      <c r="E101" s="96"/>
      <c r="F101" s="96"/>
      <c r="G101" s="1320">
        <v>15673197.487701785</v>
      </c>
      <c r="H101" s="1321">
        <v>17451517.566184107</v>
      </c>
      <c r="I101" s="1321">
        <v>19708137.851616003</v>
      </c>
      <c r="J101" s="1321">
        <v>20288408.52395989</v>
      </c>
      <c r="K101" s="1321">
        <v>21823015.498033877</v>
      </c>
      <c r="L101" s="1321">
        <v>21837375.89864013</v>
      </c>
      <c r="M101" s="1321">
        <v>23658033.402731314</v>
      </c>
      <c r="N101" s="1321">
        <v>25666451.169963896</v>
      </c>
      <c r="O101" s="1321">
        <v>27279634.569476172</v>
      </c>
      <c r="P101" s="1321">
        <v>27485379.044142459</v>
      </c>
      <c r="Q101" s="1321">
        <v>28960896.122122567</v>
      </c>
      <c r="R101" s="1321">
        <v>36849419.815278806</v>
      </c>
      <c r="S101" s="1321">
        <v>49970610.612549074</v>
      </c>
      <c r="T101" s="1324">
        <v>47688374.167748459</v>
      </c>
    </row>
    <row r="102" spans="3:20">
      <c r="C102" s="187" t="s">
        <v>423</v>
      </c>
      <c r="D102" s="498"/>
      <c r="E102" s="96"/>
      <c r="F102" s="96"/>
      <c r="G102" s="1320">
        <v>18285397.068985417</v>
      </c>
      <c r="H102" s="1321">
        <v>20360103.827214796</v>
      </c>
      <c r="I102" s="1321">
        <v>22992827.493552007</v>
      </c>
      <c r="J102" s="1321">
        <v>23669809.944619875</v>
      </c>
      <c r="K102" s="1321">
        <v>25460184.74770619</v>
      </c>
      <c r="L102" s="1321">
        <v>25476938.548413489</v>
      </c>
      <c r="M102" s="1321">
        <v>27601038.969853204</v>
      </c>
      <c r="N102" s="1321">
        <v>29944193.031624552</v>
      </c>
      <c r="O102" s="1321">
        <v>31826240.331055537</v>
      </c>
      <c r="P102" s="1321">
        <v>32066275.551499538</v>
      </c>
      <c r="Q102" s="1321">
        <v>33787712.142476335</v>
      </c>
      <c r="R102" s="1321">
        <v>42990989.784491941</v>
      </c>
      <c r="S102" s="1321">
        <v>58299045.714640595</v>
      </c>
      <c r="T102" s="1324">
        <v>55636436.529039875</v>
      </c>
    </row>
    <row r="103" spans="3:20">
      <c r="C103" s="187" t="s">
        <v>426</v>
      </c>
      <c r="D103" s="498"/>
      <c r="E103" s="96"/>
      <c r="F103" s="96"/>
      <c r="G103" s="1320">
        <v>5224399.1625672625</v>
      </c>
      <c r="H103" s="1321">
        <v>5817172.5220613694</v>
      </c>
      <c r="I103" s="1321">
        <v>6569379.2838720009</v>
      </c>
      <c r="J103" s="1321">
        <v>6762802.8413199643</v>
      </c>
      <c r="K103" s="1321">
        <v>7274338.4993446255</v>
      </c>
      <c r="L103" s="1321">
        <v>7279125.2995467102</v>
      </c>
      <c r="M103" s="1321">
        <v>7886011.1342437724</v>
      </c>
      <c r="N103" s="1321">
        <v>8555483.7233213</v>
      </c>
      <c r="O103" s="1321">
        <v>9093211.5231587254</v>
      </c>
      <c r="P103" s="1321">
        <v>9161793.0147141535</v>
      </c>
      <c r="Q103" s="1321">
        <v>9653632.040707523</v>
      </c>
      <c r="R103" s="1321">
        <v>12283139.938426269</v>
      </c>
      <c r="S103" s="1321">
        <v>16656870.204183025</v>
      </c>
      <c r="T103" s="1324">
        <v>15896124.722582819</v>
      </c>
    </row>
    <row r="104" spans="3:20">
      <c r="C104" s="472" t="s">
        <v>346</v>
      </c>
      <c r="D104" s="467"/>
      <c r="E104" s="467"/>
      <c r="F104" s="467"/>
      <c r="G104" s="388"/>
      <c r="H104" s="467"/>
      <c r="I104" s="467"/>
      <c r="J104" s="467"/>
      <c r="K104" s="467"/>
      <c r="L104" s="467"/>
      <c r="M104" s="467"/>
      <c r="N104" s="467"/>
      <c r="O104" s="468"/>
      <c r="P104" s="468"/>
      <c r="Q104" s="468"/>
      <c r="R104" s="468"/>
      <c r="S104" s="1098"/>
      <c r="T104" s="314"/>
    </row>
    <row r="105" spans="3:20">
      <c r="C105" s="497" t="s">
        <v>341</v>
      </c>
      <c r="D105" s="1331"/>
      <c r="E105" s="1332"/>
      <c r="F105" s="1332"/>
      <c r="G105" s="1318">
        <v>127986853.46046773</v>
      </c>
      <c r="H105" s="1319">
        <v>143883569.3788318</v>
      </c>
      <c r="I105" s="1319">
        <v>155165500.40530813</v>
      </c>
      <c r="J105" s="1319">
        <v>149906549.3517552</v>
      </c>
      <c r="K105" s="1319">
        <v>161853777.20609498</v>
      </c>
      <c r="L105" s="1319">
        <v>162963574.65637916</v>
      </c>
      <c r="M105" s="1319">
        <v>161013826.64445829</v>
      </c>
      <c r="N105" s="1319">
        <v>165581252.6203635</v>
      </c>
      <c r="O105" s="1319">
        <v>169789339.33471143</v>
      </c>
      <c r="P105" s="1319">
        <v>171395605.92335209</v>
      </c>
      <c r="Q105" s="1319">
        <v>187417985.11477318</v>
      </c>
      <c r="R105" s="1319">
        <v>234219524.58881238</v>
      </c>
      <c r="S105" s="1319">
        <v>312195945.57572645</v>
      </c>
      <c r="T105" s="1330">
        <v>283606938.29428661</v>
      </c>
    </row>
    <row r="106" spans="3:20">
      <c r="C106" s="187" t="s">
        <v>420</v>
      </c>
      <c r="D106" s="498"/>
      <c r="E106" s="96"/>
      <c r="F106" s="96"/>
      <c r="G106" s="1320">
        <v>72952506.472466603</v>
      </c>
      <c r="H106" s="1321">
        <v>82013634.545934126</v>
      </c>
      <c r="I106" s="1321">
        <v>88444335.231025621</v>
      </c>
      <c r="J106" s="1321">
        <v>85446733.130500451</v>
      </c>
      <c r="K106" s="1321">
        <v>92256653.007474124</v>
      </c>
      <c r="L106" s="1321">
        <v>92889237.554136112</v>
      </c>
      <c r="M106" s="1321">
        <v>91777881.187341213</v>
      </c>
      <c r="N106" s="1321">
        <v>94381313.993607193</v>
      </c>
      <c r="O106" s="1321">
        <v>96779923.420785502</v>
      </c>
      <c r="P106" s="1321">
        <v>97695495.376310691</v>
      </c>
      <c r="Q106" s="1321">
        <v>106828251.51542071</v>
      </c>
      <c r="R106" s="1321">
        <v>133505129.01562305</v>
      </c>
      <c r="S106" s="1321">
        <v>177951688.97816405</v>
      </c>
      <c r="T106" s="1324">
        <v>161655954.82774335</v>
      </c>
    </row>
    <row r="107" spans="3:20">
      <c r="C107" s="187" t="s">
        <v>193</v>
      </c>
      <c r="D107" s="498"/>
      <c r="E107" s="96"/>
      <c r="F107" s="96"/>
      <c r="G107" s="1320">
        <v>35836318.968930967</v>
      </c>
      <c r="H107" s="1321">
        <v>40287399.42607291</v>
      </c>
      <c r="I107" s="1321">
        <v>43446340.113486283</v>
      </c>
      <c r="J107" s="1321">
        <v>41973833.818491459</v>
      </c>
      <c r="K107" s="1321">
        <v>45319057.617706597</v>
      </c>
      <c r="L107" s="1321">
        <v>45629800.903786168</v>
      </c>
      <c r="M107" s="1321">
        <v>45083871.460448325</v>
      </c>
      <c r="N107" s="1321">
        <v>46362750.733701788</v>
      </c>
      <c r="O107" s="1321">
        <v>47541015.013719209</v>
      </c>
      <c r="P107" s="1321">
        <v>47990769.658538587</v>
      </c>
      <c r="Q107" s="1321">
        <v>52477035.832136497</v>
      </c>
      <c r="R107" s="1321">
        <v>65581466.884867474</v>
      </c>
      <c r="S107" s="1321">
        <v>87414864.761203408</v>
      </c>
      <c r="T107" s="1329">
        <v>79409942.722400293</v>
      </c>
    </row>
    <row r="108" spans="3:20">
      <c r="C108" s="187" t="s">
        <v>421</v>
      </c>
      <c r="D108" s="498"/>
      <c r="E108" s="96"/>
      <c r="F108" s="96"/>
      <c r="G108" s="1320">
        <v>7679211.2076280629</v>
      </c>
      <c r="H108" s="1321">
        <v>8633014.1627299078</v>
      </c>
      <c r="I108" s="1321">
        <v>9309930.0243184865</v>
      </c>
      <c r="J108" s="1321">
        <v>8994392.9611053113</v>
      </c>
      <c r="K108" s="1321">
        <v>9711226.632365698</v>
      </c>
      <c r="L108" s="1321">
        <v>9777814.4793827496</v>
      </c>
      <c r="M108" s="1321">
        <v>9660829.5986674968</v>
      </c>
      <c r="N108" s="1321">
        <v>9934875.157221809</v>
      </c>
      <c r="O108" s="1321">
        <v>10187360.360082686</v>
      </c>
      <c r="P108" s="1321">
        <v>10283736.355401125</v>
      </c>
      <c r="Q108" s="1321">
        <v>11245079.106886391</v>
      </c>
      <c r="R108" s="1321">
        <v>14053171.475328742</v>
      </c>
      <c r="S108" s="1321">
        <v>18731756.734543588</v>
      </c>
      <c r="T108" s="1324">
        <v>17016416.297657195</v>
      </c>
    </row>
    <row r="109" spans="3:20">
      <c r="C109" s="187" t="s">
        <v>423</v>
      </c>
      <c r="D109" s="498"/>
      <c r="E109" s="96"/>
      <c r="F109" s="96"/>
      <c r="G109" s="1320">
        <v>8959079.7422327418</v>
      </c>
      <c r="H109" s="1321">
        <v>10071849.856518228</v>
      </c>
      <c r="I109" s="1321">
        <v>10861585.028371571</v>
      </c>
      <c r="J109" s="1321">
        <v>10493458.454622865</v>
      </c>
      <c r="K109" s="1321">
        <v>11329764.404426649</v>
      </c>
      <c r="L109" s="1321">
        <v>11407450.225946542</v>
      </c>
      <c r="M109" s="1321">
        <v>11270967.865112081</v>
      </c>
      <c r="N109" s="1321">
        <v>11590687.683425447</v>
      </c>
      <c r="O109" s="1321">
        <v>11885253.753429802</v>
      </c>
      <c r="P109" s="1321">
        <v>11997692.414634647</v>
      </c>
      <c r="Q109" s="1321">
        <v>13119258.958034124</v>
      </c>
      <c r="R109" s="1321">
        <v>16395366.721216869</v>
      </c>
      <c r="S109" s="1321">
        <v>21853716.190300852</v>
      </c>
      <c r="T109" s="1324">
        <v>19852485.680600066</v>
      </c>
    </row>
    <row r="110" spans="3:20">
      <c r="C110" s="187" t="s">
        <v>426</v>
      </c>
      <c r="D110" s="498"/>
      <c r="E110" s="96"/>
      <c r="F110" s="96"/>
      <c r="G110" s="1320">
        <v>2559737.0692093545</v>
      </c>
      <c r="H110" s="1321">
        <v>2877671.3875766359</v>
      </c>
      <c r="I110" s="1321">
        <v>3103310.0081061628</v>
      </c>
      <c r="J110" s="1321">
        <v>2998130.9870351041</v>
      </c>
      <c r="K110" s="1321">
        <v>3237075.5441218996</v>
      </c>
      <c r="L110" s="1321">
        <v>3259271.4931275835</v>
      </c>
      <c r="M110" s="1321">
        <v>3220276.5328891659</v>
      </c>
      <c r="N110" s="1321">
        <v>3311625.0524072703</v>
      </c>
      <c r="O110" s="1321">
        <v>3395786.7866942286</v>
      </c>
      <c r="P110" s="1321">
        <v>3427912.1184670418</v>
      </c>
      <c r="Q110" s="1321">
        <v>3748359.7022954635</v>
      </c>
      <c r="R110" s="1321">
        <v>4684390.4917762475</v>
      </c>
      <c r="S110" s="1321">
        <v>6243918.911514529</v>
      </c>
      <c r="T110" s="1324">
        <v>5672138.7658857321</v>
      </c>
    </row>
    <row r="111" spans="3:20">
      <c r="C111" s="472" t="s">
        <v>325</v>
      </c>
      <c r="D111" s="467"/>
      <c r="E111" s="467"/>
      <c r="F111" s="467"/>
      <c r="G111" s="388"/>
      <c r="H111" s="467"/>
      <c r="I111" s="467"/>
      <c r="J111" s="467"/>
      <c r="K111" s="467"/>
      <c r="L111" s="467"/>
      <c r="M111" s="467"/>
      <c r="N111" s="467"/>
      <c r="O111" s="468"/>
      <c r="P111" s="468"/>
      <c r="Q111" s="468"/>
      <c r="R111" s="468"/>
      <c r="S111" s="1098"/>
      <c r="T111" s="314"/>
    </row>
    <row r="112" spans="3:20">
      <c r="C112" s="497" t="s">
        <v>341</v>
      </c>
      <c r="D112" s="1333"/>
      <c r="E112" s="1332"/>
      <c r="F112" s="1332"/>
      <c r="G112" s="1318">
        <v>111348156.12346938</v>
      </c>
      <c r="H112" s="1319">
        <v>121148830.85498025</v>
      </c>
      <c r="I112" s="1319">
        <v>135889078.3883563</v>
      </c>
      <c r="J112" s="1319">
        <v>124014934.06185867</v>
      </c>
      <c r="K112" s="1319">
        <v>129226814.65486352</v>
      </c>
      <c r="L112" s="1319">
        <v>135823816.66111872</v>
      </c>
      <c r="M112" s="1319">
        <v>152433793.00793076</v>
      </c>
      <c r="N112" s="1319">
        <v>159332405.77378345</v>
      </c>
      <c r="O112" s="1319">
        <v>165225748.80632997</v>
      </c>
      <c r="P112" s="1319">
        <v>156406154.55137894</v>
      </c>
      <c r="Q112" s="1319">
        <v>166645292.96055841</v>
      </c>
      <c r="R112" s="1319">
        <v>225840724.85632241</v>
      </c>
      <c r="S112" s="1319">
        <v>347044952.84827149</v>
      </c>
      <c r="T112" s="1330">
        <v>325078948.19280851</v>
      </c>
    </row>
    <row r="113" spans="3:20">
      <c r="C113" s="187" t="s">
        <v>420</v>
      </c>
      <c r="D113" s="499"/>
      <c r="E113" s="96"/>
      <c r="F113" s="96"/>
      <c r="G113" s="1320">
        <v>63468448.990377545</v>
      </c>
      <c r="H113" s="1321">
        <v>69054833.587338731</v>
      </c>
      <c r="I113" s="1321">
        <v>77456774.681363076</v>
      </c>
      <c r="J113" s="1321">
        <v>70688512.415259436</v>
      </c>
      <c r="K113" s="1321">
        <v>73659284.3532722</v>
      </c>
      <c r="L113" s="1321">
        <v>77419575.496837661</v>
      </c>
      <c r="M113" s="1321">
        <v>86887262.014520526</v>
      </c>
      <c r="N113" s="1321">
        <v>90819471.291056558</v>
      </c>
      <c r="O113" s="1321">
        <v>94178676.819608077</v>
      </c>
      <c r="P113" s="1321">
        <v>89151508.09428598</v>
      </c>
      <c r="Q113" s="1321">
        <v>94987816.987518281</v>
      </c>
      <c r="R113" s="1321">
        <v>128729213.16810375</v>
      </c>
      <c r="S113" s="1321">
        <v>197815623.12351474</v>
      </c>
      <c r="T113" s="1324">
        <v>185295000.46990085</v>
      </c>
    </row>
    <row r="114" spans="3:20">
      <c r="C114" s="187" t="s">
        <v>193</v>
      </c>
      <c r="D114" s="498"/>
      <c r="E114" s="96"/>
      <c r="F114" s="96"/>
      <c r="G114" s="1320">
        <v>31177483.714571431</v>
      </c>
      <c r="H114" s="1321">
        <v>33921672.63939447</v>
      </c>
      <c r="I114" s="1321">
        <v>38048941.948739767</v>
      </c>
      <c r="J114" s="1321">
        <v>34724181.537320428</v>
      </c>
      <c r="K114" s="1321">
        <v>36183508.103361793</v>
      </c>
      <c r="L114" s="1321">
        <v>38030668.66511324</v>
      </c>
      <c r="M114" s="1321">
        <v>42681462.042220615</v>
      </c>
      <c r="N114" s="1321">
        <v>44613073.616659366</v>
      </c>
      <c r="O114" s="1321">
        <v>46263209.665772393</v>
      </c>
      <c r="P114" s="1321">
        <v>43793723.274386108</v>
      </c>
      <c r="Q114" s="1321">
        <v>46660682.028956361</v>
      </c>
      <c r="R114" s="1321">
        <v>63235402.959770277</v>
      </c>
      <c r="S114" s="1321">
        <v>97172586.797516033</v>
      </c>
      <c r="T114" s="1324">
        <v>91022105.493986398</v>
      </c>
    </row>
    <row r="115" spans="3:20">
      <c r="C115" s="187" t="s">
        <v>421</v>
      </c>
      <c r="D115" s="498"/>
      <c r="E115" s="96"/>
      <c r="F115" s="96"/>
      <c r="G115" s="1320">
        <v>6680889.3674081629</v>
      </c>
      <c r="H115" s="1321">
        <v>7268929.8512988146</v>
      </c>
      <c r="I115" s="1321">
        <v>8153344.7033013776</v>
      </c>
      <c r="J115" s="1321">
        <v>7440896.0437115198</v>
      </c>
      <c r="K115" s="1321">
        <v>7753608.879291811</v>
      </c>
      <c r="L115" s="1321">
        <v>8149428.999667123</v>
      </c>
      <c r="M115" s="1321">
        <v>9146027.5804758444</v>
      </c>
      <c r="N115" s="1321">
        <v>9559944.3464270066</v>
      </c>
      <c r="O115" s="1321">
        <v>9913544.9283797983</v>
      </c>
      <c r="P115" s="1321">
        <v>9384369.273082735</v>
      </c>
      <c r="Q115" s="1321">
        <v>9998717.5776335038</v>
      </c>
      <c r="R115" s="1321">
        <v>13550443.491379345</v>
      </c>
      <c r="S115" s="1321">
        <v>20822697.170896288</v>
      </c>
      <c r="T115" s="1324">
        <v>19504736.891568508</v>
      </c>
    </row>
    <row r="116" spans="3:20">
      <c r="C116" s="187" t="s">
        <v>423</v>
      </c>
      <c r="D116" s="498"/>
      <c r="E116" s="96"/>
      <c r="F116" s="96"/>
      <c r="G116" s="1320">
        <v>7794370.9286428578</v>
      </c>
      <c r="H116" s="1321">
        <v>8480418.1598486174</v>
      </c>
      <c r="I116" s="1321">
        <v>9512235.4871849418</v>
      </c>
      <c r="J116" s="1321">
        <v>8681045.3843301069</v>
      </c>
      <c r="K116" s="1321">
        <v>9045877.0258404482</v>
      </c>
      <c r="L116" s="1321">
        <v>9507667.1662783101</v>
      </c>
      <c r="M116" s="1321">
        <v>10670365.510555154</v>
      </c>
      <c r="N116" s="1321">
        <v>11153268.404164841</v>
      </c>
      <c r="O116" s="1321">
        <v>11565802.416443098</v>
      </c>
      <c r="P116" s="1321">
        <v>10948430.818596527</v>
      </c>
      <c r="Q116" s="1321">
        <v>11665170.50723909</v>
      </c>
      <c r="R116" s="1321">
        <v>15808850.739942569</v>
      </c>
      <c r="S116" s="1321">
        <v>24293146.699379008</v>
      </c>
      <c r="T116" s="1324">
        <v>22755526.373496599</v>
      </c>
    </row>
    <row r="117" spans="3:20">
      <c r="C117" s="187" t="s">
        <v>426</v>
      </c>
      <c r="D117" s="498"/>
      <c r="E117" s="96"/>
      <c r="F117" s="96"/>
      <c r="G117" s="1320">
        <v>2226963.1224693875</v>
      </c>
      <c r="H117" s="1321">
        <v>2422976.617099605</v>
      </c>
      <c r="I117" s="1321">
        <v>2717781.567767126</v>
      </c>
      <c r="J117" s="1321">
        <v>2480298.6812371733</v>
      </c>
      <c r="K117" s="1321">
        <v>2584536.2930972707</v>
      </c>
      <c r="L117" s="1321">
        <v>2716476.3332223743</v>
      </c>
      <c r="M117" s="1321">
        <v>3048675.8601586153</v>
      </c>
      <c r="N117" s="1321">
        <v>3186648.115475669</v>
      </c>
      <c r="O117" s="1321">
        <v>3304514.9761265996</v>
      </c>
      <c r="P117" s="1321">
        <v>3128123.0910275788</v>
      </c>
      <c r="Q117" s="1321">
        <v>3332905.8592111683</v>
      </c>
      <c r="R117" s="1321">
        <v>4516814.497126448</v>
      </c>
      <c r="S117" s="1321">
        <v>6940899.0569654303</v>
      </c>
      <c r="T117" s="1324">
        <v>6501578.96385617</v>
      </c>
    </row>
    <row r="118" spans="3:20">
      <c r="C118" s="472" t="s">
        <v>326</v>
      </c>
      <c r="D118" s="467"/>
      <c r="E118" s="467"/>
      <c r="F118" s="467"/>
      <c r="G118" s="1345"/>
      <c r="H118" s="1346"/>
      <c r="I118" s="1346"/>
      <c r="J118" s="1346"/>
      <c r="K118" s="1346"/>
      <c r="L118" s="1346"/>
      <c r="M118" s="1346"/>
      <c r="N118" s="1346"/>
      <c r="O118" s="1346"/>
      <c r="P118" s="1346"/>
      <c r="Q118" s="1346"/>
      <c r="R118" s="1346"/>
      <c r="S118" s="1347"/>
      <c r="T118" s="1348"/>
    </row>
    <row r="119" spans="3:20">
      <c r="C119" s="497" t="s">
        <v>341</v>
      </c>
      <c r="D119" s="1331"/>
      <c r="E119" s="1332"/>
      <c r="F119" s="1332"/>
      <c r="G119" s="1349">
        <v>9827150.3238000013</v>
      </c>
      <c r="H119" s="1350">
        <v>10139001.789800001</v>
      </c>
      <c r="I119" s="1350">
        <v>16613377.991999997</v>
      </c>
      <c r="J119" s="1350">
        <v>22171613.799800001</v>
      </c>
      <c r="K119" s="1350">
        <v>34171136.014200009</v>
      </c>
      <c r="L119" s="1350">
        <v>61831638.815799989</v>
      </c>
      <c r="M119" s="1350">
        <v>63297149.682399981</v>
      </c>
      <c r="N119" s="1350">
        <v>69238723.198399991</v>
      </c>
      <c r="O119" s="1350">
        <v>74440206.900599986</v>
      </c>
      <c r="P119" s="1350">
        <v>72416521.589399979</v>
      </c>
      <c r="Q119" s="1350">
        <v>76654226.368599981</v>
      </c>
      <c r="R119" s="1350">
        <v>86279940.685599998</v>
      </c>
      <c r="S119" s="1350">
        <v>155732432.76779997</v>
      </c>
      <c r="T119" s="1351">
        <v>181578863.25759998</v>
      </c>
    </row>
    <row r="120" spans="3:20">
      <c r="C120" s="187" t="s">
        <v>420</v>
      </c>
      <c r="D120" s="498"/>
      <c r="E120" s="96"/>
      <c r="F120" s="96"/>
      <c r="G120" s="1320">
        <v>5601475.6845660005</v>
      </c>
      <c r="H120" s="1321">
        <v>5779231.0201860005</v>
      </c>
      <c r="I120" s="1321">
        <v>9469625.4554399978</v>
      </c>
      <c r="J120" s="1321">
        <v>12637819.865885999</v>
      </c>
      <c r="K120" s="1321">
        <v>19477547.528094005</v>
      </c>
      <c r="L120" s="1321">
        <v>35244034.12500599</v>
      </c>
      <c r="M120" s="1321">
        <v>36079375.318967983</v>
      </c>
      <c r="N120" s="1321">
        <v>39466072.223087989</v>
      </c>
      <c r="O120" s="1321">
        <v>42430917.933341987</v>
      </c>
      <c r="P120" s="1321">
        <v>41277417.305957988</v>
      </c>
      <c r="Q120" s="1321">
        <v>43692909.030101985</v>
      </c>
      <c r="R120" s="1321">
        <v>49179566.190791994</v>
      </c>
      <c r="S120" s="1321">
        <v>88767486.677645981</v>
      </c>
      <c r="T120" s="1324">
        <v>103499952.05683199</v>
      </c>
    </row>
    <row r="121" spans="3:20">
      <c r="C121" s="187" t="s">
        <v>193</v>
      </c>
      <c r="D121" s="498"/>
      <c r="E121" s="96"/>
      <c r="F121" s="96"/>
      <c r="G121" s="1320">
        <v>2751602.0906640007</v>
      </c>
      <c r="H121" s="1321">
        <v>2838920.5011440008</v>
      </c>
      <c r="I121" s="1321">
        <v>4651745.8377599996</v>
      </c>
      <c r="J121" s="1321">
        <v>6208051.8639440006</v>
      </c>
      <c r="K121" s="1321">
        <v>9567918.0839760043</v>
      </c>
      <c r="L121" s="1321">
        <v>17312858.868423998</v>
      </c>
      <c r="M121" s="1321">
        <v>17723201.911071997</v>
      </c>
      <c r="N121" s="1321">
        <v>19386842.495552</v>
      </c>
      <c r="O121" s="1321">
        <v>20843257.932167999</v>
      </c>
      <c r="P121" s="1321">
        <v>20276626.045031995</v>
      </c>
      <c r="Q121" s="1321">
        <v>21463183.383207995</v>
      </c>
      <c r="R121" s="1321">
        <v>24158383.391968001</v>
      </c>
      <c r="S121" s="1321">
        <v>43605081.174983993</v>
      </c>
      <c r="T121" s="1324">
        <v>50842081.712127998</v>
      </c>
    </row>
    <row r="122" spans="3:20">
      <c r="C122" s="187" t="s">
        <v>421</v>
      </c>
      <c r="D122" s="498"/>
      <c r="E122" s="96"/>
      <c r="F122" s="96"/>
      <c r="G122" s="1320">
        <v>589629.01942800009</v>
      </c>
      <c r="H122" s="1321">
        <v>608340.107388</v>
      </c>
      <c r="I122" s="1321">
        <v>996802.67951999977</v>
      </c>
      <c r="J122" s="1321">
        <v>1330296.8279880001</v>
      </c>
      <c r="K122" s="1321">
        <v>2050268.1608520006</v>
      </c>
      <c r="L122" s="1321">
        <v>3709898.328947999</v>
      </c>
      <c r="M122" s="1321">
        <v>3797828.9809439988</v>
      </c>
      <c r="N122" s="1321">
        <v>4154323.3919039993</v>
      </c>
      <c r="O122" s="1321">
        <v>4466412.4140359992</v>
      </c>
      <c r="P122" s="1321">
        <v>4344991.295363999</v>
      </c>
      <c r="Q122" s="1321">
        <v>4599253.5821159985</v>
      </c>
      <c r="R122" s="1321">
        <v>5176796.4411359997</v>
      </c>
      <c r="S122" s="1321">
        <v>9343945.9660679977</v>
      </c>
      <c r="T122" s="1324">
        <v>10894731.795455998</v>
      </c>
    </row>
    <row r="123" spans="3:20">
      <c r="C123" s="187" t="s">
        <v>423</v>
      </c>
      <c r="D123" s="498"/>
      <c r="E123" s="96"/>
      <c r="F123" s="96"/>
      <c r="G123" s="1320">
        <v>687900.52266600018</v>
      </c>
      <c r="H123" s="1321">
        <v>709730.1252860002</v>
      </c>
      <c r="I123" s="1321">
        <v>1162936.4594399999</v>
      </c>
      <c r="J123" s="1321">
        <v>1552012.9659860001</v>
      </c>
      <c r="K123" s="1321">
        <v>2391979.5209940011</v>
      </c>
      <c r="L123" s="1321">
        <v>4328214.7171059996</v>
      </c>
      <c r="M123" s="1321">
        <v>4430800.4777679993</v>
      </c>
      <c r="N123" s="1321">
        <v>4846710.6238879999</v>
      </c>
      <c r="O123" s="1321">
        <v>5210814.4830419999</v>
      </c>
      <c r="P123" s="1321">
        <v>5069156.5112579986</v>
      </c>
      <c r="Q123" s="1321">
        <v>5365795.8458019989</v>
      </c>
      <c r="R123" s="1321">
        <v>6039595.8479920002</v>
      </c>
      <c r="S123" s="1321">
        <v>10901270.293745998</v>
      </c>
      <c r="T123" s="1324">
        <v>12710520.428032</v>
      </c>
    </row>
    <row r="124" spans="3:20">
      <c r="C124" s="187" t="s">
        <v>426</v>
      </c>
      <c r="D124" s="498"/>
      <c r="E124" s="96"/>
      <c r="F124" s="96"/>
      <c r="G124" s="1320">
        <v>196543.00647600004</v>
      </c>
      <c r="H124" s="1321">
        <v>202780.03579600004</v>
      </c>
      <c r="I124" s="1321">
        <v>332267.55983999994</v>
      </c>
      <c r="J124" s="1321">
        <v>443432.27599600004</v>
      </c>
      <c r="K124" s="1321">
        <v>683422.72028400016</v>
      </c>
      <c r="L124" s="1321">
        <v>1236632.7763159999</v>
      </c>
      <c r="M124" s="1321">
        <v>1265942.9936479996</v>
      </c>
      <c r="N124" s="1321">
        <v>1384774.4639679999</v>
      </c>
      <c r="O124" s="1321">
        <v>1488804.1380119997</v>
      </c>
      <c r="P124" s="1321">
        <v>1448330.4317879996</v>
      </c>
      <c r="Q124" s="1321">
        <v>1533084.5273719996</v>
      </c>
      <c r="R124" s="1321">
        <v>1725598.8137119999</v>
      </c>
      <c r="S124" s="1321">
        <v>3114648.6553559997</v>
      </c>
      <c r="T124" s="1324">
        <v>3631577.2651519999</v>
      </c>
    </row>
    <row r="125" spans="3:20">
      <c r="C125" s="496" t="s">
        <v>241</v>
      </c>
      <c r="D125" s="498"/>
      <c r="E125" s="96"/>
      <c r="F125" s="1353"/>
      <c r="G125" s="1334">
        <v>3878897.6911886614</v>
      </c>
      <c r="H125" s="1335">
        <v>3922085.7104062364</v>
      </c>
      <c r="I125" s="1335">
        <v>6678082.1101532951</v>
      </c>
      <c r="J125" s="1335">
        <v>8704529.7296292726</v>
      </c>
      <c r="K125" s="1335">
        <v>13978879.123448778</v>
      </c>
      <c r="L125" s="1335">
        <v>25368449.724873397</v>
      </c>
      <c r="M125" s="1335">
        <v>26847331.889205676</v>
      </c>
      <c r="N125" s="1335">
        <v>28128753.499886386</v>
      </c>
      <c r="O125" s="1335">
        <v>30211308.553098485</v>
      </c>
      <c r="P125" s="1335">
        <v>29437246.586774904</v>
      </c>
      <c r="Q125" s="1335">
        <v>30884938.396402355</v>
      </c>
      <c r="R125" s="1335">
        <v>36395910.718658224</v>
      </c>
      <c r="S125" s="1335">
        <v>63057343.531907231</v>
      </c>
      <c r="T125" s="1352">
        <v>63057343.531907231</v>
      </c>
    </row>
    <row r="126" spans="3:20">
      <c r="C126" s="582" t="s">
        <v>341</v>
      </c>
      <c r="D126" s="512"/>
      <c r="E126" s="475"/>
      <c r="F126" s="475"/>
      <c r="G126" s="579">
        <v>1153085358.1243534</v>
      </c>
      <c r="H126" s="580">
        <v>1223938718.0244784</v>
      </c>
      <c r="I126" s="580">
        <v>1328574527.5028605</v>
      </c>
      <c r="J126" s="580">
        <v>1173895269.2711358</v>
      </c>
      <c r="K126" s="580">
        <v>1221760923.1981277</v>
      </c>
      <c r="L126" s="580">
        <v>1201437211.902519</v>
      </c>
      <c r="M126" s="580">
        <v>1256054948.1283584</v>
      </c>
      <c r="N126" s="580">
        <v>1250567338.3578963</v>
      </c>
      <c r="O126" s="580">
        <v>1281155010.312408</v>
      </c>
      <c r="P126" s="580">
        <v>1221387105.0332799</v>
      </c>
      <c r="Q126" s="580">
        <v>1276363554.0784986</v>
      </c>
      <c r="R126" s="580">
        <v>1674104680.0659182</v>
      </c>
      <c r="S126" s="580">
        <v>2027646992.6461322</v>
      </c>
      <c r="T126" s="29"/>
    </row>
    <row r="127" spans="3:20">
      <c r="C127" s="187" t="s">
        <v>497</v>
      </c>
      <c r="D127" s="498"/>
      <c r="E127" s="96"/>
      <c r="F127" s="96"/>
      <c r="G127" s="583">
        <f>G120+G113+G106+G99+G92</f>
        <v>1441633751.772789</v>
      </c>
      <c r="H127" s="1323">
        <f t="shared" ref="H127:T127" si="8">H120+H113+H106+H99+H92</f>
        <v>1546469933.198967</v>
      </c>
      <c r="I127" s="1323">
        <f t="shared" si="8"/>
        <v>1699328591.8473589</v>
      </c>
      <c r="J127" s="1323">
        <f t="shared" si="8"/>
        <v>1603837525.443666</v>
      </c>
      <c r="K127" s="1323">
        <f t="shared" si="8"/>
        <v>1640889316.5314784</v>
      </c>
      <c r="L127" s="1323">
        <f t="shared" si="8"/>
        <v>1575475035.6470022</v>
      </c>
      <c r="M127" s="1323">
        <f t="shared" si="8"/>
        <v>1620262701.9579079</v>
      </c>
      <c r="N127" s="1323">
        <f t="shared" si="8"/>
        <v>1679824186.8282018</v>
      </c>
      <c r="O127" s="1323">
        <f t="shared" si="8"/>
        <v>1712387277.7510476</v>
      </c>
      <c r="P127" s="1323">
        <f t="shared" si="8"/>
        <v>1643150848.3286452</v>
      </c>
      <c r="Q127" s="1323">
        <f t="shared" si="8"/>
        <v>1725611497.3097701</v>
      </c>
      <c r="R127" s="1323">
        <f t="shared" si="8"/>
        <v>2176155575.8295541</v>
      </c>
      <c r="S127" s="1323">
        <f t="shared" si="8"/>
        <v>2804787410.6022577</v>
      </c>
      <c r="T127" s="1354">
        <f t="shared" si="8"/>
        <v>2671151654.7189417</v>
      </c>
    </row>
    <row r="128" spans="3:20">
      <c r="C128" s="187" t="s">
        <v>498</v>
      </c>
      <c r="D128" s="498"/>
      <c r="E128" s="96"/>
      <c r="F128" s="96"/>
      <c r="G128" s="583">
        <f t="shared" ref="G128:T131" si="9">G121+G114+G107+G100+G93</f>
        <v>708170965.78312445</v>
      </c>
      <c r="H128" s="1323">
        <f t="shared" si="9"/>
        <v>759669440.86966801</v>
      </c>
      <c r="I128" s="1323">
        <f t="shared" si="9"/>
        <v>834757904.76712394</v>
      </c>
      <c r="J128" s="1323">
        <f t="shared" si="9"/>
        <v>787850012.49864316</v>
      </c>
      <c r="K128" s="1323">
        <f t="shared" si="9"/>
        <v>806050892.33125257</v>
      </c>
      <c r="L128" s="1323">
        <f t="shared" si="9"/>
        <v>773917561.37045741</v>
      </c>
      <c r="M128" s="1323">
        <f t="shared" si="9"/>
        <v>795918520.26002514</v>
      </c>
      <c r="N128" s="1323">
        <f t="shared" si="9"/>
        <v>825176793.52964306</v>
      </c>
      <c r="O128" s="1323">
        <f t="shared" si="9"/>
        <v>841172697.84262013</v>
      </c>
      <c r="P128" s="1323">
        <f t="shared" si="9"/>
        <v>807161820.23161542</v>
      </c>
      <c r="Q128" s="1323">
        <f t="shared" si="9"/>
        <v>847668805.69602752</v>
      </c>
      <c r="R128" s="1323">
        <f t="shared" si="9"/>
        <v>1068988703.9162724</v>
      </c>
      <c r="S128" s="1323">
        <f t="shared" si="9"/>
        <v>1377790306.9625127</v>
      </c>
      <c r="T128" s="1354">
        <f t="shared" si="9"/>
        <v>1312144672.4935155</v>
      </c>
    </row>
    <row r="129" spans="3:20">
      <c r="C129" s="187" t="s">
        <v>499</v>
      </c>
      <c r="D129" s="498"/>
      <c r="E129" s="96"/>
      <c r="F129" s="96"/>
      <c r="G129" s="583">
        <f t="shared" si="9"/>
        <v>151750921.23924094</v>
      </c>
      <c r="H129" s="1323">
        <f t="shared" si="9"/>
        <v>162786308.75778598</v>
      </c>
      <c r="I129" s="1323">
        <f t="shared" si="9"/>
        <v>178876693.87866938</v>
      </c>
      <c r="J129" s="1323">
        <f t="shared" si="9"/>
        <v>168825002.67828065</v>
      </c>
      <c r="K129" s="1323">
        <f t="shared" si="9"/>
        <v>172725191.21383983</v>
      </c>
      <c r="L129" s="1323">
        <f t="shared" si="9"/>
        <v>165839477.43652657</v>
      </c>
      <c r="M129" s="1323">
        <f>M122+M115+M108+M101+M94</f>
        <v>170553968.62714821</v>
      </c>
      <c r="N129" s="1323">
        <f t="shared" si="9"/>
        <v>176823598.61349493</v>
      </c>
      <c r="O129" s="1323">
        <f t="shared" si="9"/>
        <v>180251292.39484715</v>
      </c>
      <c r="P129" s="1323">
        <f t="shared" si="9"/>
        <v>172963247.192489</v>
      </c>
      <c r="Q129" s="1323">
        <f t="shared" si="9"/>
        <v>181643315.5062916</v>
      </c>
      <c r="R129" s="1323">
        <f t="shared" si="9"/>
        <v>229069007.98205835</v>
      </c>
      <c r="S129" s="1323">
        <f t="shared" si="9"/>
        <v>295240780.0633955</v>
      </c>
      <c r="T129" s="1354">
        <f t="shared" si="9"/>
        <v>281173858.39146757</v>
      </c>
    </row>
    <row r="130" spans="3:20">
      <c r="C130" s="187" t="s">
        <v>500</v>
      </c>
      <c r="D130" s="498"/>
      <c r="E130" s="96"/>
      <c r="F130" s="96"/>
      <c r="G130" s="583">
        <f t="shared" si="9"/>
        <v>177042741.44578111</v>
      </c>
      <c r="H130" s="1323">
        <f t="shared" si="9"/>
        <v>189917360.217417</v>
      </c>
      <c r="I130" s="1323">
        <f t="shared" si="9"/>
        <v>208689476.19178098</v>
      </c>
      <c r="J130" s="1323">
        <f t="shared" si="9"/>
        <v>196962503.12466079</v>
      </c>
      <c r="K130" s="1323">
        <f t="shared" si="9"/>
        <v>201512723.08281314</v>
      </c>
      <c r="L130" s="1323">
        <f t="shared" si="9"/>
        <v>193479390.34261435</v>
      </c>
      <c r="M130" s="1323">
        <f t="shared" si="9"/>
        <v>198979630.06500629</v>
      </c>
      <c r="N130" s="1323">
        <f t="shared" si="9"/>
        <v>206294198.38241076</v>
      </c>
      <c r="O130" s="1323">
        <f t="shared" si="9"/>
        <v>210293174.46065503</v>
      </c>
      <c r="P130" s="1323">
        <f t="shared" si="9"/>
        <v>201790455.05790386</v>
      </c>
      <c r="Q130" s="1323">
        <f t="shared" si="9"/>
        <v>211917201.42400688</v>
      </c>
      <c r="R130" s="1323">
        <f t="shared" si="9"/>
        <v>267247175.9790681</v>
      </c>
      <c r="S130" s="1323">
        <f t="shared" si="9"/>
        <v>344447576.74062818</v>
      </c>
      <c r="T130" s="1354">
        <f t="shared" si="9"/>
        <v>328036168.12337887</v>
      </c>
    </row>
    <row r="131" spans="3:20">
      <c r="C131" s="187" t="s">
        <v>501</v>
      </c>
      <c r="D131" s="498"/>
      <c r="E131" s="96"/>
      <c r="F131" s="96"/>
      <c r="G131" s="583">
        <f t="shared" si="9"/>
        <v>50583640.41308032</v>
      </c>
      <c r="H131" s="1323">
        <f t="shared" si="9"/>
        <v>54262102.919261999</v>
      </c>
      <c r="I131" s="1323">
        <f t="shared" si="9"/>
        <v>59625564.626223132</v>
      </c>
      <c r="J131" s="1323">
        <f t="shared" si="9"/>
        <v>56275000.892760217</v>
      </c>
      <c r="K131" s="1323">
        <f t="shared" si="9"/>
        <v>57575063.737946607</v>
      </c>
      <c r="L131" s="1323">
        <f t="shared" si="9"/>
        <v>55279825.812175527</v>
      </c>
      <c r="M131" s="1323">
        <f t="shared" si="9"/>
        <v>56851322.875716075</v>
      </c>
      <c r="N131" s="1323">
        <f t="shared" si="9"/>
        <v>58941199.537831649</v>
      </c>
      <c r="O131" s="1323">
        <f t="shared" si="9"/>
        <v>60083764.131615721</v>
      </c>
      <c r="P131" s="1323">
        <f t="shared" si="9"/>
        <v>57654415.730829671</v>
      </c>
      <c r="Q131" s="1323">
        <f t="shared" si="9"/>
        <v>60547771.835430533</v>
      </c>
      <c r="R131" s="1323">
        <f t="shared" si="9"/>
        <v>76356335.994019449</v>
      </c>
      <c r="S131" s="1323">
        <f t="shared" si="9"/>
        <v>98413593.354465187</v>
      </c>
      <c r="T131" s="1354">
        <f t="shared" si="9"/>
        <v>93724619.463822514</v>
      </c>
    </row>
    <row r="132" spans="3:20">
      <c r="C132" s="444" t="s">
        <v>427</v>
      </c>
      <c r="D132" s="575"/>
      <c r="E132" s="576"/>
      <c r="F132" s="576"/>
      <c r="G132" s="577"/>
      <c r="H132" s="578"/>
      <c r="I132" s="578"/>
      <c r="J132" s="578"/>
      <c r="K132" s="578"/>
      <c r="L132" s="578"/>
      <c r="M132" s="578"/>
      <c r="N132" s="578"/>
      <c r="O132" s="578"/>
      <c r="P132" s="578"/>
      <c r="Q132" s="578"/>
      <c r="R132" s="578"/>
      <c r="S132" s="578"/>
      <c r="T132" s="33"/>
    </row>
    <row r="135" spans="3:20">
      <c r="C135" s="15" t="s">
        <v>502</v>
      </c>
    </row>
    <row r="137" spans="3:20">
      <c r="C137" s="511" t="s">
        <v>336</v>
      </c>
      <c r="D137" s="512"/>
      <c r="E137" s="475"/>
      <c r="F137" s="475"/>
      <c r="G137" s="391">
        <v>2011</v>
      </c>
      <c r="H137" s="392">
        <v>2012</v>
      </c>
      <c r="I137" s="392">
        <v>2013</v>
      </c>
      <c r="J137" s="392">
        <v>2014</v>
      </c>
      <c r="K137" s="392">
        <v>2015</v>
      </c>
      <c r="L137" s="392">
        <v>2016</v>
      </c>
      <c r="M137" s="392">
        <v>2017</v>
      </c>
      <c r="N137" s="392">
        <v>2018</v>
      </c>
      <c r="O137" s="392">
        <v>2019</v>
      </c>
      <c r="P137" s="392">
        <v>2020</v>
      </c>
      <c r="Q137" s="392">
        <v>2021</v>
      </c>
      <c r="R137" s="392">
        <v>2022</v>
      </c>
      <c r="S137" s="392">
        <v>2023</v>
      </c>
      <c r="T137" s="393">
        <v>2024</v>
      </c>
    </row>
    <row r="138" spans="3:20">
      <c r="C138" s="472" t="s">
        <v>337</v>
      </c>
      <c r="D138" s="467"/>
      <c r="E138" s="467"/>
      <c r="F138" s="467"/>
      <c r="G138" s="503"/>
      <c r="H138" s="504"/>
      <c r="I138" s="504"/>
      <c r="J138" s="504"/>
      <c r="K138" s="504"/>
      <c r="L138" s="504"/>
      <c r="M138" s="504"/>
      <c r="N138" s="504"/>
      <c r="O138" s="504"/>
      <c r="P138" s="504"/>
      <c r="Q138" s="504"/>
      <c r="R138" s="504"/>
      <c r="S138" s="1358"/>
      <c r="T138" s="981"/>
    </row>
    <row r="139" spans="3:20">
      <c r="C139" s="497" t="s">
        <v>341</v>
      </c>
      <c r="D139" s="498"/>
      <c r="E139" s="96"/>
      <c r="F139" s="96" t="s">
        <v>503</v>
      </c>
      <c r="G139" s="1366"/>
      <c r="H139" s="1367"/>
      <c r="I139" s="1367"/>
      <c r="J139" s="1367"/>
      <c r="K139" s="1367"/>
      <c r="L139" s="1367"/>
      <c r="M139" s="1367"/>
      <c r="N139" s="1367"/>
      <c r="O139" s="1367"/>
      <c r="P139" s="1367"/>
      <c r="Q139" s="1367"/>
      <c r="R139" s="1367"/>
      <c r="S139" s="1367"/>
      <c r="T139" s="31"/>
    </row>
    <row r="140" spans="3:20">
      <c r="C140" s="187" t="s">
        <v>420</v>
      </c>
      <c r="D140" s="498"/>
      <c r="E140" s="96"/>
      <c r="F140" s="96" t="s">
        <v>504</v>
      </c>
      <c r="G140" s="1366">
        <f>G92/G$13</f>
        <v>12589889.983503412</v>
      </c>
      <c r="H140" s="1367">
        <f t="shared" ref="H140:T140" si="10">H92/H13</f>
        <v>12974638.931001952</v>
      </c>
      <c r="I140" s="1367">
        <f t="shared" si="10"/>
        <v>13231680.741293523</v>
      </c>
      <c r="J140" s="1367">
        <f t="shared" si="10"/>
        <v>11697971.554184569</v>
      </c>
      <c r="K140" s="1367">
        <f t="shared" si="10"/>
        <v>11347065.312830146</v>
      </c>
      <c r="L140" s="1367">
        <f t="shared" si="10"/>
        <v>11199105.177590957</v>
      </c>
      <c r="M140" s="1367">
        <f t="shared" si="10"/>
        <v>10971120.707188206</v>
      </c>
      <c r="N140" s="1367">
        <f t="shared" si="10"/>
        <v>11166868.340223951</v>
      </c>
      <c r="O140" s="1367">
        <f t="shared" si="10"/>
        <v>10448318.896507824</v>
      </c>
      <c r="P140" s="1367">
        <f t="shared" si="10"/>
        <v>9816378.7888790928</v>
      </c>
      <c r="Q140" s="1367">
        <f t="shared" si="10"/>
        <v>9987351.8990183566</v>
      </c>
      <c r="R140" s="1367">
        <f t="shared" si="10"/>
        <v>10867603.079532821</v>
      </c>
      <c r="S140" s="1367">
        <f>S92/S13</f>
        <v>7571151.8303722246</v>
      </c>
      <c r="T140" s="1465">
        <f t="shared" si="10"/>
        <v>8719502.7390349247</v>
      </c>
    </row>
    <row r="141" spans="3:20">
      <c r="C141" s="187" t="s">
        <v>193</v>
      </c>
      <c r="D141" s="498"/>
      <c r="E141" s="498"/>
      <c r="F141" s="96" t="s">
        <v>505</v>
      </c>
      <c r="G141" s="1364">
        <f>G93/G$29</f>
        <v>14298913.335755492</v>
      </c>
      <c r="H141" s="1463">
        <f t="shared" ref="H141:T141" si="11">H93/H$29</f>
        <v>14227848.663440555</v>
      </c>
      <c r="I141" s="1463">
        <f t="shared" si="11"/>
        <v>15552284.446534598</v>
      </c>
      <c r="J141" s="1463">
        <f t="shared" si="11"/>
        <v>15060733.213624617</v>
      </c>
      <c r="K141" s="1463">
        <f t="shared" si="11"/>
        <v>15690026.093002832</v>
      </c>
      <c r="L141" s="1463">
        <f t="shared" si="11"/>
        <v>15458614.227084851</v>
      </c>
      <c r="M141" s="1463">
        <f t="shared" si="11"/>
        <v>16211857.641035324</v>
      </c>
      <c r="N141" s="1463">
        <f t="shared" si="11"/>
        <v>15191398.080965865</v>
      </c>
      <c r="O141" s="1463">
        <f t="shared" si="11"/>
        <v>15221126.184919348</v>
      </c>
      <c r="P141" s="1463">
        <f t="shared" si="11"/>
        <v>15581137.157642929</v>
      </c>
      <c r="Q141" s="1463">
        <f t="shared" si="11"/>
        <v>13225039.478541808</v>
      </c>
      <c r="R141" s="1463">
        <f t="shared" si="11"/>
        <v>10390368.12173764</v>
      </c>
      <c r="S141" s="1463">
        <f t="shared" si="11"/>
        <v>10735336.825719794</v>
      </c>
      <c r="T141" s="1466">
        <f t="shared" si="11"/>
        <v>11772845.222427027</v>
      </c>
    </row>
    <row r="142" spans="3:20">
      <c r="C142" s="187" t="s">
        <v>421</v>
      </c>
      <c r="D142" s="498"/>
      <c r="E142" s="498"/>
      <c r="F142" s="96" t="s">
        <v>516</v>
      </c>
      <c r="G142" s="1364">
        <f>G94/G$41</f>
        <v>143435855.59912959</v>
      </c>
      <c r="H142" s="1463">
        <f t="shared" ref="H142:T142" si="12">H94/H$41</f>
        <v>137472026.26053536</v>
      </c>
      <c r="I142" s="1463">
        <f t="shared" si="12"/>
        <v>158670600.91503784</v>
      </c>
      <c r="J142" s="1463">
        <f t="shared" si="12"/>
        <v>162295312.18078563</v>
      </c>
      <c r="K142" s="1463">
        <f t="shared" si="12"/>
        <v>203500662.62328106</v>
      </c>
      <c r="L142" s="1463">
        <f t="shared" si="12"/>
        <v>212809323.9250693</v>
      </c>
      <c r="M142" s="1463">
        <f t="shared" si="12"/>
        <v>184281664.09610885</v>
      </c>
      <c r="N142" s="1463">
        <f t="shared" si="12"/>
        <v>150871294.98822156</v>
      </c>
      <c r="O142" s="1463">
        <f t="shared" si="12"/>
        <v>147548796.4640879</v>
      </c>
      <c r="P142" s="1463">
        <f t="shared" si="12"/>
        <v>175425723.89442328</v>
      </c>
      <c r="Q142" s="1463">
        <f t="shared" si="12"/>
        <v>152377906.19597924</v>
      </c>
      <c r="R142" s="1463">
        <f t="shared" si="12"/>
        <v>114301510.32972647</v>
      </c>
      <c r="S142" s="1463">
        <f t="shared" si="12"/>
        <v>166586163.53863129</v>
      </c>
      <c r="T142" s="1466">
        <f t="shared" si="12"/>
        <v>166014988.61441594</v>
      </c>
    </row>
    <row r="143" spans="3:20">
      <c r="C143" s="187" t="s">
        <v>423</v>
      </c>
      <c r="D143" s="498"/>
      <c r="E143" s="498"/>
      <c r="F143" s="96" t="s">
        <v>504</v>
      </c>
      <c r="G143" s="1364">
        <f>G95/G$76</f>
        <v>1972441.8657543024</v>
      </c>
      <c r="H143" s="1463">
        <f t="shared" ref="H143:T143" si="13">H95/H$76</f>
        <v>1929892.5733606927</v>
      </c>
      <c r="I143" s="1463">
        <f t="shared" si="13"/>
        <v>2081394.0624896677</v>
      </c>
      <c r="J143" s="1463">
        <f t="shared" si="13"/>
        <v>1940442.6757756944</v>
      </c>
      <c r="K143" s="1463">
        <f t="shared" si="13"/>
        <v>1992634.593604377</v>
      </c>
      <c r="L143" s="1463">
        <f t="shared" si="13"/>
        <v>1847128.4618090801</v>
      </c>
      <c r="M143" s="1463">
        <f t="shared" si="13"/>
        <v>1824057.5662525634</v>
      </c>
      <c r="N143" s="1463">
        <f t="shared" si="13"/>
        <v>1745179.2446858515</v>
      </c>
      <c r="O143" s="1463">
        <f t="shared" si="13"/>
        <v>1757341.1179830097</v>
      </c>
      <c r="P143" s="1463">
        <f t="shared" si="13"/>
        <v>1735949.8318603055</v>
      </c>
      <c r="Q143" s="1463">
        <f t="shared" si="13"/>
        <v>1658744.1009527198</v>
      </c>
      <c r="R143" s="1463">
        <f t="shared" si="13"/>
        <v>1658322.1617216519</v>
      </c>
      <c r="S143" s="1463">
        <f t="shared" si="13"/>
        <v>1926110.2727488116</v>
      </c>
      <c r="T143" s="1466">
        <f t="shared" si="13"/>
        <v>1806844.4037587387</v>
      </c>
    </row>
    <row r="144" spans="3:20">
      <c r="C144" s="187" t="s">
        <v>426</v>
      </c>
      <c r="D144" s="498"/>
      <c r="E144" s="498"/>
      <c r="F144" s="96" t="s">
        <v>504</v>
      </c>
      <c r="G144" s="1364" t="e">
        <f>G96/G$58</f>
        <v>#DIV/0!</v>
      </c>
      <c r="H144" s="1463">
        <f t="shared" ref="H144:T144" si="14">H96/H$58</f>
        <v>1951886.4707603813</v>
      </c>
      <c r="I144" s="1463">
        <f t="shared" si="14"/>
        <v>1938133.3143238779</v>
      </c>
      <c r="J144" s="1463">
        <f t="shared" si="14"/>
        <v>1722938.1860542281</v>
      </c>
      <c r="K144" s="1463">
        <f t="shared" si="14"/>
        <v>1731054.967632364</v>
      </c>
      <c r="L144" s="1463">
        <f t="shared" si="14"/>
        <v>1612186.5577060417</v>
      </c>
      <c r="M144" s="1463">
        <f t="shared" si="14"/>
        <v>1637565.8638251589</v>
      </c>
      <c r="N144" s="1463">
        <f t="shared" si="14"/>
        <v>1679947.3589983955</v>
      </c>
      <c r="O144" s="1463">
        <f t="shared" si="14"/>
        <v>1621266.9207433397</v>
      </c>
      <c r="P144" s="1463">
        <f t="shared" si="14"/>
        <v>1586530.4496407874</v>
      </c>
      <c r="Q144" s="1463">
        <f t="shared" si="14"/>
        <v>1671137.9330373271</v>
      </c>
      <c r="R144" s="1463">
        <f t="shared" si="14"/>
        <v>1677600.7655611897</v>
      </c>
      <c r="S144" s="1463">
        <f t="shared" si="14"/>
        <v>1983553.2280741273</v>
      </c>
      <c r="T144" s="1466">
        <f t="shared" si="14"/>
        <v>1818862.1626494369</v>
      </c>
    </row>
    <row r="145" spans="3:20">
      <c r="C145" s="472" t="s">
        <v>345</v>
      </c>
      <c r="D145" s="467"/>
      <c r="E145" s="467"/>
      <c r="F145" s="467"/>
      <c r="G145" s="388"/>
      <c r="H145" s="467"/>
      <c r="I145" s="467"/>
      <c r="J145" s="467"/>
      <c r="K145" s="467"/>
      <c r="L145" s="467"/>
      <c r="M145" s="467"/>
      <c r="N145" s="467"/>
      <c r="O145" s="468"/>
      <c r="P145" s="468"/>
      <c r="Q145" s="468"/>
      <c r="R145" s="468"/>
      <c r="S145" s="1098"/>
      <c r="T145" s="978"/>
    </row>
    <row r="146" spans="3:20">
      <c r="C146" s="497" t="s">
        <v>341</v>
      </c>
      <c r="D146" s="498"/>
      <c r="E146" s="96"/>
      <c r="F146" s="96" t="s">
        <v>503</v>
      </c>
      <c r="G146" s="1366"/>
      <c r="H146" s="1367"/>
      <c r="I146" s="1367"/>
      <c r="J146" s="1367"/>
      <c r="K146" s="1367"/>
      <c r="L146" s="1367"/>
      <c r="M146" s="1367"/>
      <c r="N146" s="1367"/>
      <c r="O146" s="1367"/>
      <c r="P146" s="1367"/>
      <c r="Q146" s="1367"/>
      <c r="R146" s="1367"/>
      <c r="S146" s="1367"/>
      <c r="T146" s="31"/>
    </row>
    <row r="147" spans="3:20">
      <c r="C147" s="187" t="s">
        <v>420</v>
      </c>
      <c r="D147" s="498"/>
      <c r="E147" s="96"/>
      <c r="F147" s="96" t="s">
        <v>504</v>
      </c>
      <c r="G147" s="1366">
        <f>G99/G$13</f>
        <v>1629052.2552862908</v>
      </c>
      <c r="H147" s="1367">
        <f t="shared" ref="H147:T147" si="15">H99/H$13</f>
        <v>1757640.2531539786</v>
      </c>
      <c r="I147" s="1367">
        <f t="shared" si="15"/>
        <v>1853277.0065860136</v>
      </c>
      <c r="J147" s="1367">
        <f t="shared" si="15"/>
        <v>1814876.4687158095</v>
      </c>
      <c r="K147" s="1367">
        <f t="shared" si="15"/>
        <v>1884714.9748301983</v>
      </c>
      <c r="L147" s="1367">
        <f t="shared" si="15"/>
        <v>1998603.7672165821</v>
      </c>
      <c r="M147" s="1367">
        <f t="shared" si="15"/>
        <v>2088281.6940854588</v>
      </c>
      <c r="N147" s="1367">
        <f t="shared" si="15"/>
        <v>2247810.8883582116</v>
      </c>
      <c r="O147" s="1367">
        <f t="shared" si="15"/>
        <v>2219756.1319916369</v>
      </c>
      <c r="P147" s="1367">
        <f t="shared" si="15"/>
        <v>2221276.911266298</v>
      </c>
      <c r="Q147" s="1367">
        <f t="shared" si="15"/>
        <v>2280385.5214269734</v>
      </c>
      <c r="R147" s="1367">
        <f t="shared" si="15"/>
        <v>2511709.3327006176</v>
      </c>
      <c r="S147" s="1367">
        <f t="shared" si="15"/>
        <v>1926626.6267013641</v>
      </c>
      <c r="T147" s="1465">
        <f t="shared" si="15"/>
        <v>2234749.3135706512</v>
      </c>
    </row>
    <row r="148" spans="3:20">
      <c r="C148" s="187" t="s">
        <v>193</v>
      </c>
      <c r="D148" s="498"/>
      <c r="E148" s="96"/>
      <c r="F148" s="96" t="s">
        <v>505</v>
      </c>
      <c r="G148" s="1364">
        <f>G100/G$29</f>
        <v>1850189.0841204736</v>
      </c>
      <c r="H148" s="1463">
        <f t="shared" ref="H148:T148" si="16">H100/H$29</f>
        <v>1927409.2835749523</v>
      </c>
      <c r="I148" s="1463">
        <f t="shared" si="16"/>
        <v>2178309.1451638336</v>
      </c>
      <c r="J148" s="1463">
        <f t="shared" si="16"/>
        <v>2336590.5947374548</v>
      </c>
      <c r="K148" s="1463">
        <f t="shared" si="16"/>
        <v>2606068.2932284479</v>
      </c>
      <c r="L148" s="1463">
        <f t="shared" si="16"/>
        <v>2758760.109872065</v>
      </c>
      <c r="M148" s="1463">
        <f t="shared" si="16"/>
        <v>3085821.9905202575</v>
      </c>
      <c r="N148" s="1463">
        <f t="shared" si="16"/>
        <v>3057919.9982843436</v>
      </c>
      <c r="O148" s="1463">
        <f>O100/O$29</f>
        <v>3233743.9658437292</v>
      </c>
      <c r="P148" s="1463">
        <f t="shared" si="16"/>
        <v>3525742.1258799713</v>
      </c>
      <c r="Q148" s="1463">
        <f t="shared" si="16"/>
        <v>3019638.1235081023</v>
      </c>
      <c r="R148" s="1463">
        <f t="shared" si="16"/>
        <v>2401411.2763019046</v>
      </c>
      <c r="S148" s="1463">
        <f t="shared" si="16"/>
        <v>2731814.9521276485</v>
      </c>
      <c r="T148" s="1466">
        <f t="shared" si="16"/>
        <v>3017300.2483057021</v>
      </c>
    </row>
    <row r="149" spans="3:20">
      <c r="C149" s="187" t="s">
        <v>421</v>
      </c>
      <c r="D149" s="498"/>
      <c r="E149" s="96"/>
      <c r="F149" s="96" t="s">
        <v>516</v>
      </c>
      <c r="G149" s="1364">
        <f>G101/G$41</f>
        <v>18559693.878092054</v>
      </c>
      <c r="H149" s="1463">
        <f t="shared" ref="H149:T149" si="17">H101/H$41</f>
        <v>18622974.274899416</v>
      </c>
      <c r="I149" s="1463">
        <f t="shared" si="17"/>
        <v>22223977.591850366</v>
      </c>
      <c r="J149" s="1463">
        <f t="shared" si="17"/>
        <v>25179232.28787728</v>
      </c>
      <c r="K149" s="1463">
        <f t="shared" si="17"/>
        <v>33800875.879360244</v>
      </c>
      <c r="L149" s="1463">
        <f t="shared" si="17"/>
        <v>37978169.661850475</v>
      </c>
      <c r="M149" s="1463">
        <f t="shared" si="17"/>
        <v>35076819.949248224</v>
      </c>
      <c r="N149" s="1463">
        <f t="shared" si="17"/>
        <v>30369314.769625634</v>
      </c>
      <c r="O149" s="1463">
        <f t="shared" si="17"/>
        <v>31346894.075812895</v>
      </c>
      <c r="P149" s="1463">
        <f t="shared" si="17"/>
        <v>39695810.289056122</v>
      </c>
      <c r="Q149" s="1463">
        <f t="shared" si="17"/>
        <v>34792042.43407324</v>
      </c>
      <c r="R149" s="1463">
        <f t="shared" si="17"/>
        <v>26417248.415856913</v>
      </c>
      <c r="S149" s="1463">
        <f t="shared" si="17"/>
        <v>42391084.673014142</v>
      </c>
      <c r="T149" s="1466">
        <f t="shared" si="17"/>
        <v>42548513.711410113</v>
      </c>
    </row>
    <row r="150" spans="3:20">
      <c r="C150" s="187" t="s">
        <v>423</v>
      </c>
      <c r="D150" s="498"/>
      <c r="E150" s="96"/>
      <c r="F150" s="96" t="s">
        <v>504</v>
      </c>
      <c r="G150" s="1364">
        <f t="shared" ref="G150:T150" si="18">G102/G$76</f>
        <v>255221.52092182136</v>
      </c>
      <c r="H150" s="1463">
        <f t="shared" si="18"/>
        <v>261437.47731558059</v>
      </c>
      <c r="I150" s="1463">
        <f t="shared" si="18"/>
        <v>291527.57182377845</v>
      </c>
      <c r="J150" s="1463">
        <f t="shared" si="18"/>
        <v>301049.09512260591</v>
      </c>
      <c r="K150" s="1463">
        <f t="shared" si="18"/>
        <v>330970.8858099592</v>
      </c>
      <c r="L150" s="1463">
        <f t="shared" si="18"/>
        <v>329640.4349957821</v>
      </c>
      <c r="M150" s="1463">
        <f t="shared" si="18"/>
        <v>347197.53124834126</v>
      </c>
      <c r="N150" s="1463">
        <f t="shared" si="18"/>
        <v>351292.12495604157</v>
      </c>
      <c r="O150" s="1463">
        <f t="shared" si="18"/>
        <v>373348.93405173765</v>
      </c>
      <c r="P150" s="1463">
        <f t="shared" si="18"/>
        <v>392815.45298520598</v>
      </c>
      <c r="Q150" s="1463">
        <f t="shared" si="18"/>
        <v>378736.63307455595</v>
      </c>
      <c r="R150" s="1463">
        <f t="shared" si="18"/>
        <v>383269.72559984151</v>
      </c>
      <c r="S150" s="1463">
        <f t="shared" si="18"/>
        <v>490136.16693755385</v>
      </c>
      <c r="T150" s="1466">
        <f t="shared" si="18"/>
        <v>463081.94536741707</v>
      </c>
    </row>
    <row r="151" spans="3:20">
      <c r="C151" s="187" t="s">
        <v>426</v>
      </c>
      <c r="D151" s="498"/>
      <c r="E151" s="96"/>
      <c r="F151" s="96" t="s">
        <v>1229</v>
      </c>
      <c r="G151" s="1364" t="e">
        <f>G103/G$58</f>
        <v>#DIV/0!</v>
      </c>
      <c r="H151" s="1463">
        <f t="shared" ref="H151:T151" si="19">H103/H$58</f>
        <v>264416.93282097136</v>
      </c>
      <c r="I151" s="1463">
        <f t="shared" si="19"/>
        <v>271461.9538790083</v>
      </c>
      <c r="J151" s="1463">
        <f t="shared" si="19"/>
        <v>267304.4601312239</v>
      </c>
      <c r="K151" s="1463">
        <f t="shared" si="19"/>
        <v>287523.26084366109</v>
      </c>
      <c r="L151" s="1463">
        <f t="shared" si="19"/>
        <v>287712.46243267629</v>
      </c>
      <c r="M151" s="1463">
        <f t="shared" si="19"/>
        <v>311700.04483176966</v>
      </c>
      <c r="N151" s="1463">
        <f t="shared" si="19"/>
        <v>338161.41198898415</v>
      </c>
      <c r="O151" s="1463">
        <f t="shared" si="19"/>
        <v>344439.83042267902</v>
      </c>
      <c r="P151" s="1463">
        <f t="shared" si="19"/>
        <v>359004.42847625993</v>
      </c>
      <c r="Q151" s="1463">
        <f t="shared" si="19"/>
        <v>381566.48382243171</v>
      </c>
      <c r="R151" s="1463">
        <f t="shared" si="19"/>
        <v>387725.37684426358</v>
      </c>
      <c r="S151" s="1463">
        <f t="shared" si="19"/>
        <v>504753.64255100075</v>
      </c>
      <c r="T151" s="1466">
        <f t="shared" si="19"/>
        <v>466162.01532500936</v>
      </c>
    </row>
    <row r="152" spans="3:20">
      <c r="C152" s="472" t="s">
        <v>346</v>
      </c>
      <c r="D152" s="467"/>
      <c r="E152" s="467"/>
      <c r="F152" s="467"/>
      <c r="G152" s="388"/>
      <c r="H152" s="467"/>
      <c r="I152" s="467"/>
      <c r="J152" s="467"/>
      <c r="K152" s="467"/>
      <c r="L152" s="467"/>
      <c r="M152" s="467"/>
      <c r="N152" s="467"/>
      <c r="O152" s="468"/>
      <c r="P152" s="468"/>
      <c r="Q152" s="468"/>
      <c r="R152" s="468"/>
      <c r="S152" s="1098"/>
      <c r="T152" s="978"/>
    </row>
    <row r="153" spans="3:20">
      <c r="C153" s="497" t="s">
        <v>341</v>
      </c>
      <c r="D153" s="498"/>
      <c r="E153" s="96"/>
      <c r="F153" s="96" t="s">
        <v>503</v>
      </c>
      <c r="G153" s="567"/>
      <c r="H153" s="568"/>
      <c r="I153" s="568"/>
      <c r="J153" s="568"/>
      <c r="K153" s="568"/>
      <c r="L153" s="568"/>
      <c r="M153" s="568"/>
      <c r="N153" s="568"/>
      <c r="O153" s="568"/>
      <c r="P153" s="568"/>
      <c r="Q153" s="568"/>
      <c r="R153" s="568"/>
      <c r="S153" s="568"/>
      <c r="T153" s="31"/>
    </row>
    <row r="154" spans="3:20">
      <c r="C154" s="187" t="s">
        <v>420</v>
      </c>
      <c r="D154" s="498"/>
      <c r="E154" s="96"/>
      <c r="F154" s="96" t="s">
        <v>504</v>
      </c>
      <c r="G154" s="1366">
        <f>G106/G$13</f>
        <v>798167.46687600226</v>
      </c>
      <c r="H154" s="1367">
        <f t="shared" ref="H154:T154" si="20">H106/H$13</f>
        <v>869479.29547770089</v>
      </c>
      <c r="I154" s="1367">
        <f t="shared" si="20"/>
        <v>875469.78699357202</v>
      </c>
      <c r="J154" s="1367">
        <f t="shared" si="20"/>
        <v>804583.17448682163</v>
      </c>
      <c r="K154" s="1367">
        <f t="shared" si="20"/>
        <v>838696.84552249208</v>
      </c>
      <c r="L154" s="1367">
        <f t="shared" si="20"/>
        <v>894886.68163907621</v>
      </c>
      <c r="M154" s="1367">
        <f t="shared" si="20"/>
        <v>852756.15505078947</v>
      </c>
      <c r="N154" s="1367">
        <f t="shared" si="20"/>
        <v>870074.33965067705</v>
      </c>
      <c r="O154" s="1367">
        <f t="shared" si="20"/>
        <v>828950.09353991866</v>
      </c>
      <c r="P154" s="1367">
        <f t="shared" si="20"/>
        <v>831097.36602561187</v>
      </c>
      <c r="Q154" s="1367">
        <f t="shared" si="20"/>
        <v>885439.2997548338</v>
      </c>
      <c r="R154" s="1367">
        <f t="shared" si="20"/>
        <v>957884.33374438062</v>
      </c>
      <c r="S154" s="1367">
        <f t="shared" si="20"/>
        <v>722206.52994384745</v>
      </c>
      <c r="T154" s="1465">
        <f t="shared" si="20"/>
        <v>797414.99483410211</v>
      </c>
    </row>
    <row r="155" spans="3:20">
      <c r="C155" s="187" t="s">
        <v>193</v>
      </c>
      <c r="D155" s="498"/>
      <c r="E155" s="96"/>
      <c r="F155" s="96" t="s">
        <v>505</v>
      </c>
      <c r="G155" s="1364">
        <f>G107/G$29</f>
        <v>906515.26353557163</v>
      </c>
      <c r="H155" s="1463">
        <f t="shared" ref="H155:T155" si="21">H107/H$29</f>
        <v>953461.58747373475</v>
      </c>
      <c r="I155" s="1463">
        <f t="shared" si="21"/>
        <v>1029011.7648606476</v>
      </c>
      <c r="J155" s="1463">
        <f t="shared" si="21"/>
        <v>1035872.9701973436</v>
      </c>
      <c r="K155" s="1463">
        <f t="shared" si="21"/>
        <v>1159698.5676541373</v>
      </c>
      <c r="L155" s="1463">
        <f t="shared" si="21"/>
        <v>1235251.1891838799</v>
      </c>
      <c r="M155" s="1463">
        <f t="shared" si="21"/>
        <v>1260104.7565853642</v>
      </c>
      <c r="N155" s="1463">
        <f t="shared" si="21"/>
        <v>1183648.3829630124</v>
      </c>
      <c r="O155" s="1463">
        <f t="shared" si="21"/>
        <v>1207615.7035165729</v>
      </c>
      <c r="P155" s="1463">
        <f t="shared" si="21"/>
        <v>1319166.9076657025</v>
      </c>
      <c r="Q155" s="1463">
        <f t="shared" si="21"/>
        <v>1172479.9339713911</v>
      </c>
      <c r="R155" s="1463">
        <f t="shared" si="21"/>
        <v>915820.23863143916</v>
      </c>
      <c r="S155" s="1463">
        <f t="shared" si="21"/>
        <v>1024035.7782258766</v>
      </c>
      <c r="T155" s="1466">
        <f t="shared" si="21"/>
        <v>1076648.9320769897</v>
      </c>
    </row>
    <row r="156" spans="3:20">
      <c r="C156" s="187" t="s">
        <v>421</v>
      </c>
      <c r="D156" s="498"/>
      <c r="E156" s="96"/>
      <c r="F156" s="96" t="s">
        <v>516</v>
      </c>
      <c r="G156" s="1364">
        <f>G108/G$41</f>
        <v>9093473.7057083566</v>
      </c>
      <c r="H156" s="1463">
        <f t="shared" ref="H156:R156" si="22">H108/H$41</f>
        <v>9212516.9090676028</v>
      </c>
      <c r="I156" s="1463">
        <f t="shared" si="22"/>
        <v>10498387.914674727</v>
      </c>
      <c r="J156" s="1463">
        <f t="shared" si="22"/>
        <v>11162625.663253168</v>
      </c>
      <c r="K156" s="1463">
        <f t="shared" si="22"/>
        <v>15041366.124058507</v>
      </c>
      <c r="L156" s="1463">
        <f t="shared" si="22"/>
        <v>17004950.546426266</v>
      </c>
      <c r="M156" s="1463">
        <f t="shared" si="22"/>
        <v>14323725.671707995</v>
      </c>
      <c r="N156" s="1463">
        <f t="shared" si="22"/>
        <v>11755242.236203061</v>
      </c>
      <c r="O156" s="1463">
        <f t="shared" si="22"/>
        <v>11706245.745570453</v>
      </c>
      <c r="P156" s="1463">
        <f t="shared" si="22"/>
        <v>14852305.539285276</v>
      </c>
      <c r="Q156" s="1463">
        <f t="shared" si="22"/>
        <v>13509225.260555491</v>
      </c>
      <c r="R156" s="1463">
        <f t="shared" si="22"/>
        <v>10074680.246131437</v>
      </c>
      <c r="S156" s="1463">
        <f>S108/S$41</f>
        <v>15890529.975011526</v>
      </c>
      <c r="T156" s="1466">
        <f>T108/T$41</f>
        <v>15182384.276996071</v>
      </c>
    </row>
    <row r="157" spans="3:20">
      <c r="C157" s="187" t="s">
        <v>423</v>
      </c>
      <c r="D157" s="498"/>
      <c r="E157" s="96"/>
      <c r="F157" s="96" t="s">
        <v>504</v>
      </c>
      <c r="G157" s="1364">
        <f>G109/G$76</f>
        <v>125047.87012532678</v>
      </c>
      <c r="H157" s="1463">
        <f t="shared" ref="H157:T157" si="23">H109/H$76</f>
        <v>129329.35120250938</v>
      </c>
      <c r="I157" s="1463">
        <f t="shared" si="23"/>
        <v>137714.75084422101</v>
      </c>
      <c r="J157" s="1463">
        <f t="shared" si="23"/>
        <v>133463.09834603974</v>
      </c>
      <c r="K157" s="1463">
        <f t="shared" si="23"/>
        <v>147281.81268555287</v>
      </c>
      <c r="L157" s="1463">
        <f t="shared" si="23"/>
        <v>147598.45840692334</v>
      </c>
      <c r="M157" s="1463">
        <f t="shared" si="23"/>
        <v>141779.16352426045</v>
      </c>
      <c r="N157" s="1463">
        <f t="shared" si="23"/>
        <v>135976.85874226555</v>
      </c>
      <c r="O157" s="1463">
        <f t="shared" si="23"/>
        <v>139424.15986369393</v>
      </c>
      <c r="P157" s="1463">
        <f t="shared" si="23"/>
        <v>146973.07060381345</v>
      </c>
      <c r="Q157" s="1463">
        <f t="shared" si="23"/>
        <v>147057.72161331333</v>
      </c>
      <c r="R157" s="1463">
        <f t="shared" si="23"/>
        <v>146166.6208628749</v>
      </c>
      <c r="S157" s="1463">
        <f t="shared" si="23"/>
        <v>183730.22329189346</v>
      </c>
      <c r="T157" s="1466">
        <f t="shared" si="23"/>
        <v>165239.33348162117</v>
      </c>
    </row>
    <row r="158" spans="3:20">
      <c r="C158" s="187" t="s">
        <v>426</v>
      </c>
      <c r="D158" s="498"/>
      <c r="E158" s="96"/>
      <c r="F158" s="96" t="s">
        <v>1229</v>
      </c>
      <c r="G158" s="1364" t="e">
        <f>G110/G$58</f>
        <v>#DIV/0!</v>
      </c>
      <c r="H158" s="1463">
        <f t="shared" ref="H158:T158" si="24">H110/H$58</f>
        <v>130803.24488984709</v>
      </c>
      <c r="I158" s="1463">
        <f t="shared" si="24"/>
        <v>128235.95074818855</v>
      </c>
      <c r="J158" s="1463">
        <f t="shared" si="24"/>
        <v>118503.20106858118</v>
      </c>
      <c r="K158" s="1463">
        <f t="shared" si="24"/>
        <v>127947.64996529247</v>
      </c>
      <c r="L158" s="1463">
        <f t="shared" si="24"/>
        <v>128824.96020267128</v>
      </c>
      <c r="M158" s="1463">
        <f t="shared" si="24"/>
        <v>127283.65742644924</v>
      </c>
      <c r="N158" s="1463">
        <f t="shared" si="24"/>
        <v>130894.27084613717</v>
      </c>
      <c r="O158" s="1463">
        <f t="shared" si="24"/>
        <v>128628.2873747814</v>
      </c>
      <c r="P158" s="1463">
        <f t="shared" si="24"/>
        <v>134322.57517504081</v>
      </c>
      <c r="Q158" s="1463">
        <f t="shared" si="24"/>
        <v>148156.50997215271</v>
      </c>
      <c r="R158" s="1463">
        <f t="shared" si="24"/>
        <v>147865.8614828361</v>
      </c>
      <c r="S158" s="1463">
        <f t="shared" si="24"/>
        <v>189209.66398528876</v>
      </c>
      <c r="T158" s="1466">
        <f t="shared" si="24"/>
        <v>166338.38023125313</v>
      </c>
    </row>
    <row r="159" spans="3:20">
      <c r="C159" s="472" t="s">
        <v>325</v>
      </c>
      <c r="D159" s="467"/>
      <c r="E159" s="467"/>
      <c r="F159" s="467"/>
      <c r="G159" s="388"/>
      <c r="H159" s="467"/>
      <c r="I159" s="467"/>
      <c r="J159" s="467"/>
      <c r="K159" s="467"/>
      <c r="L159" s="467"/>
      <c r="M159" s="467"/>
      <c r="N159" s="467"/>
      <c r="O159" s="468"/>
      <c r="P159" s="468"/>
      <c r="Q159" s="468"/>
      <c r="R159" s="468"/>
      <c r="S159" s="1098"/>
      <c r="T159" s="978"/>
    </row>
    <row r="160" spans="3:20">
      <c r="C160" s="497" t="s">
        <v>341</v>
      </c>
      <c r="D160" s="499"/>
      <c r="E160" s="96"/>
      <c r="F160" s="96" t="s">
        <v>503</v>
      </c>
      <c r="G160" s="567"/>
      <c r="H160" s="568"/>
      <c r="I160" s="568"/>
      <c r="J160" s="568"/>
      <c r="K160" s="568"/>
      <c r="L160" s="568"/>
      <c r="M160" s="568"/>
      <c r="N160" s="568"/>
      <c r="O160" s="568"/>
      <c r="P160" s="568"/>
      <c r="Q160" s="568"/>
      <c r="R160" s="568"/>
      <c r="S160" s="568"/>
      <c r="T160" s="31"/>
    </row>
    <row r="161" spans="3:20">
      <c r="C161" s="187" t="s">
        <v>420</v>
      </c>
      <c r="D161" s="499"/>
      <c r="E161" s="96"/>
      <c r="F161" s="96" t="s">
        <v>504</v>
      </c>
      <c r="G161" s="567">
        <f>G113/G$13</f>
        <v>694403.16182032332</v>
      </c>
      <c r="H161" s="568">
        <f t="shared" ref="H161:T161" si="25">H113/H$13</f>
        <v>732094.71070595004</v>
      </c>
      <c r="I161" s="568">
        <f t="shared" si="25"/>
        <v>766708.97977097821</v>
      </c>
      <c r="J161" s="568">
        <f t="shared" si="25"/>
        <v>665616.87773313979</v>
      </c>
      <c r="K161" s="568">
        <f t="shared" si="25"/>
        <v>669629.85775702004</v>
      </c>
      <c r="L161" s="568">
        <f t="shared" si="25"/>
        <v>745853.32848591194</v>
      </c>
      <c r="M161" s="568">
        <f t="shared" si="25"/>
        <v>807314.8619235357</v>
      </c>
      <c r="N161" s="568">
        <f t="shared" si="25"/>
        <v>837238.73050063662</v>
      </c>
      <c r="O161" s="568">
        <f t="shared" si="25"/>
        <v>806669.60873325972</v>
      </c>
      <c r="P161" s="568">
        <f t="shared" si="25"/>
        <v>758413.50994713709</v>
      </c>
      <c r="Q161" s="568">
        <f t="shared" si="25"/>
        <v>787300.59666405537</v>
      </c>
      <c r="R161" s="568">
        <f t="shared" si="25"/>
        <v>923617.6729550045</v>
      </c>
      <c r="S161" s="568">
        <f t="shared" si="25"/>
        <v>802823.14579348499</v>
      </c>
      <c r="T161" s="1467">
        <f t="shared" si="25"/>
        <v>914021.45995758218</v>
      </c>
    </row>
    <row r="162" spans="3:20">
      <c r="C162" s="187" t="s">
        <v>193</v>
      </c>
      <c r="D162" s="498"/>
      <c r="E162" s="96"/>
      <c r="F162" s="96" t="s">
        <v>505</v>
      </c>
      <c r="G162" s="506">
        <f>G114/G$29</f>
        <v>788665.40088544763</v>
      </c>
      <c r="H162" s="312">
        <f t="shared" ref="H162:T162" si="26">H114/H$29</f>
        <v>802807.13834286074</v>
      </c>
      <c r="I162" s="312">
        <f t="shared" si="26"/>
        <v>901176.22804318834</v>
      </c>
      <c r="J162" s="312">
        <f t="shared" si="26"/>
        <v>856958.67626200628</v>
      </c>
      <c r="K162" s="312">
        <f t="shared" si="26"/>
        <v>925923.10445077729</v>
      </c>
      <c r="L162" s="312">
        <f t="shared" si="26"/>
        <v>1029533.9397402731</v>
      </c>
      <c r="M162" s="312">
        <f t="shared" si="26"/>
        <v>1192956.851201284</v>
      </c>
      <c r="N162" s="312">
        <f t="shared" si="26"/>
        <v>1138978.8485302937</v>
      </c>
      <c r="O162" s="312">
        <f t="shared" si="26"/>
        <v>1175157.4608018827</v>
      </c>
      <c r="P162" s="312">
        <f t="shared" si="26"/>
        <v>1203798.7912694516</v>
      </c>
      <c r="Q162" s="312">
        <f t="shared" si="26"/>
        <v>1042526.745591596</v>
      </c>
      <c r="R162" s="312">
        <f t="shared" si="26"/>
        <v>883058.34833247587</v>
      </c>
      <c r="S162" s="312">
        <f t="shared" si="26"/>
        <v>1138344.2142849341</v>
      </c>
      <c r="T162" s="313">
        <f t="shared" si="26"/>
        <v>1234087.9405754262</v>
      </c>
    </row>
    <row r="163" spans="3:20">
      <c r="C163" s="187" t="s">
        <v>421</v>
      </c>
      <c r="D163" s="498"/>
      <c r="E163" s="96"/>
      <c r="F163" s="96" t="s">
        <v>516</v>
      </c>
      <c r="G163" s="506">
        <f>G115/G$41</f>
        <v>7911293.2501354851</v>
      </c>
      <c r="H163" s="312">
        <f t="shared" ref="H163:T163" si="27">H115/H$41</f>
        <v>7756866.5941746878</v>
      </c>
      <c r="I163" s="312">
        <f t="shared" si="27"/>
        <v>9194158.8469224088</v>
      </c>
      <c r="J163" s="312">
        <f t="shared" si="27"/>
        <v>9234635.1214930713</v>
      </c>
      <c r="K163" s="312">
        <f t="shared" si="27"/>
        <v>12009283.10616192</v>
      </c>
      <c r="L163" s="312">
        <f t="shared" si="27"/>
        <v>14172966.506284108</v>
      </c>
      <c r="M163" s="312">
        <f t="shared" si="27"/>
        <v>13560449.308274783</v>
      </c>
      <c r="N163" s="312">
        <f t="shared" si="27"/>
        <v>11311612.856572144</v>
      </c>
      <c r="O163" s="312">
        <f t="shared" si="27"/>
        <v>11391605.778086524</v>
      </c>
      <c r="P163" s="312">
        <f t="shared" si="27"/>
        <v>13553392.942060564</v>
      </c>
      <c r="Q163" s="312">
        <f t="shared" si="27"/>
        <v>12011914.437330013</v>
      </c>
      <c r="R163" s="312">
        <f t="shared" si="27"/>
        <v>9714275.9275785685</v>
      </c>
      <c r="S163" s="312">
        <f t="shared" si="27"/>
        <v>17664317.247112561</v>
      </c>
      <c r="T163" s="313">
        <f t="shared" si="27"/>
        <v>17402513.286552917</v>
      </c>
    </row>
    <row r="164" spans="3:20">
      <c r="C164" s="187" t="s">
        <v>423</v>
      </c>
      <c r="D164" s="498"/>
      <c r="E164" s="96"/>
      <c r="F164" s="96" t="s">
        <v>504</v>
      </c>
      <c r="G164" s="506">
        <f>G116/G$76</f>
        <v>108791.24995383198</v>
      </c>
      <c r="H164" s="312">
        <f t="shared" ref="H164:T164" si="28">H116/H$76</f>
        <v>108894.2939145784</v>
      </c>
      <c r="I164" s="312">
        <f t="shared" si="28"/>
        <v>120606.25927684059</v>
      </c>
      <c r="J164" s="312">
        <f t="shared" si="28"/>
        <v>110411.56915858049</v>
      </c>
      <c r="K164" s="312">
        <f t="shared" si="28"/>
        <v>117592.30979029353</v>
      </c>
      <c r="L164" s="312">
        <f t="shared" si="28"/>
        <v>123017.58841751673</v>
      </c>
      <c r="M164" s="312">
        <f t="shared" si="28"/>
        <v>134224.09811560437</v>
      </c>
      <c r="N164" s="312">
        <f t="shared" si="28"/>
        <v>130845.24781703831</v>
      </c>
      <c r="O164" s="312">
        <f t="shared" si="28"/>
        <v>135676.72331747363</v>
      </c>
      <c r="P164" s="312">
        <f t="shared" si="28"/>
        <v>134119.49899130294</v>
      </c>
      <c r="Q164" s="312">
        <f t="shared" si="28"/>
        <v>130758.40659238378</v>
      </c>
      <c r="R164" s="312">
        <f t="shared" si="28"/>
        <v>140937.76197105169</v>
      </c>
      <c r="S164" s="312">
        <f t="shared" si="28"/>
        <v>204239.18882595244</v>
      </c>
      <c r="T164" s="313">
        <f t="shared" si="28"/>
        <v>189402.37869832208</v>
      </c>
    </row>
    <row r="165" spans="3:20">
      <c r="C165" s="187" t="s">
        <v>426</v>
      </c>
      <c r="D165" s="498"/>
      <c r="E165" s="96"/>
      <c r="F165" s="96" t="s">
        <v>504</v>
      </c>
      <c r="G165" s="1364" t="e">
        <f>G117/G$58</f>
        <v>#DIV/0!</v>
      </c>
      <c r="H165" s="1463">
        <f t="shared" ref="H165:T165" si="29">H117/H$58</f>
        <v>110135.30077725477</v>
      </c>
      <c r="I165" s="1463">
        <f t="shared" si="29"/>
        <v>112305.02346145149</v>
      </c>
      <c r="J165" s="1463">
        <f t="shared" si="29"/>
        <v>98035.520997516724</v>
      </c>
      <c r="K165" s="1463">
        <f t="shared" si="29"/>
        <v>102155.584707402</v>
      </c>
      <c r="L165" s="1463">
        <f t="shared" si="29"/>
        <v>107370.60605622032</v>
      </c>
      <c r="M165" s="1463">
        <f t="shared" si="29"/>
        <v>120501.02214065673</v>
      </c>
      <c r="N165" s="1463">
        <f t="shared" si="29"/>
        <v>125954.47096741774</v>
      </c>
      <c r="O165" s="1463">
        <f t="shared" si="29"/>
        <v>125171.02182297726</v>
      </c>
      <c r="P165" s="1463">
        <f t="shared" si="29"/>
        <v>122575.3562314882</v>
      </c>
      <c r="Q165" s="1463">
        <f t="shared" si="29"/>
        <v>131735.40945498689</v>
      </c>
      <c r="R165" s="1463">
        <f t="shared" si="29"/>
        <v>142576.21518707223</v>
      </c>
      <c r="S165" s="1463">
        <f t="shared" si="29"/>
        <v>210330.2744534979</v>
      </c>
      <c r="T165" s="1466">
        <f t="shared" si="29"/>
        <v>190662.13970252697</v>
      </c>
    </row>
    <row r="166" spans="3:20">
      <c r="C166" s="472" t="s">
        <v>326</v>
      </c>
      <c r="D166" s="467"/>
      <c r="E166" s="467"/>
      <c r="F166" s="467"/>
      <c r="G166" s="388"/>
      <c r="H166" s="467"/>
      <c r="I166" s="467"/>
      <c r="J166" s="467"/>
      <c r="K166" s="467"/>
      <c r="L166" s="467"/>
      <c r="M166" s="467"/>
      <c r="N166" s="467"/>
      <c r="O166" s="468"/>
      <c r="P166" s="468"/>
      <c r="Q166" s="468"/>
      <c r="R166" s="468"/>
      <c r="S166" s="1098"/>
      <c r="T166" s="978"/>
    </row>
    <row r="167" spans="3:20">
      <c r="C167" s="497" t="s">
        <v>341</v>
      </c>
      <c r="D167" s="498"/>
      <c r="E167" s="96"/>
      <c r="F167" s="96" t="s">
        <v>503</v>
      </c>
      <c r="G167" s="567"/>
      <c r="H167" s="568"/>
      <c r="I167" s="568"/>
      <c r="J167" s="568"/>
      <c r="K167" s="568"/>
      <c r="L167" s="568"/>
      <c r="M167" s="568"/>
      <c r="N167" s="568"/>
      <c r="O167" s="568"/>
      <c r="P167" s="568"/>
      <c r="Q167" s="568"/>
      <c r="R167" s="568"/>
      <c r="S167" s="568"/>
      <c r="T167" s="31"/>
    </row>
    <row r="168" spans="3:20">
      <c r="C168" s="187" t="s">
        <v>420</v>
      </c>
      <c r="D168" s="498"/>
      <c r="E168" s="96"/>
      <c r="F168" s="96" t="s">
        <v>504</v>
      </c>
      <c r="G168" s="567">
        <f>G120/G$13</f>
        <v>61285.291953676162</v>
      </c>
      <c r="H168" s="568">
        <f t="shared" ref="H168:T168" si="30">H120/H$13</f>
        <v>61269.345562533803</v>
      </c>
      <c r="I168" s="568">
        <f t="shared" si="30"/>
        <v>93735.466027616902</v>
      </c>
      <c r="J168" s="568">
        <f t="shared" si="30"/>
        <v>119000.18706107345</v>
      </c>
      <c r="K168" s="568">
        <f t="shared" si="30"/>
        <v>177068.61389176367</v>
      </c>
      <c r="L168" s="568">
        <f t="shared" si="30"/>
        <v>339537.90101161844</v>
      </c>
      <c r="M168" s="568">
        <f t="shared" si="30"/>
        <v>335232.29100086394</v>
      </c>
      <c r="N168" s="568">
        <f t="shared" si="30"/>
        <v>363826.43210959196</v>
      </c>
      <c r="O168" s="568">
        <f t="shared" si="30"/>
        <v>363433.98658108769</v>
      </c>
      <c r="P168" s="568">
        <f t="shared" si="30"/>
        <v>351147.74398943415</v>
      </c>
      <c r="Q168" s="568">
        <f t="shared" si="30"/>
        <v>362145.95134771639</v>
      </c>
      <c r="R168" s="568">
        <f t="shared" si="30"/>
        <v>352857.87401465105</v>
      </c>
      <c r="S168" s="568">
        <f t="shared" si="30"/>
        <v>360257.65697096579</v>
      </c>
      <c r="T168" s="1467">
        <f t="shared" si="30"/>
        <v>510543.60368396592</v>
      </c>
    </row>
    <row r="169" spans="3:20">
      <c r="C169" s="187" t="s">
        <v>193</v>
      </c>
      <c r="D169" s="498"/>
      <c r="E169" s="96"/>
      <c r="F169" s="96" t="s">
        <v>505</v>
      </c>
      <c r="G169" s="506">
        <f>G121/G$29</f>
        <v>69604.506437333897</v>
      </c>
      <c r="H169" s="312">
        <f t="shared" ref="H169:T169" si="31">H121/H$29</f>
        <v>67187.301396791605</v>
      </c>
      <c r="I169" s="312">
        <f t="shared" si="31"/>
        <v>110175.01547180352</v>
      </c>
      <c r="J169" s="312">
        <f t="shared" si="31"/>
        <v>153208.61923767792</v>
      </c>
      <c r="K169" s="312">
        <f t="shared" si="31"/>
        <v>244839.62113730743</v>
      </c>
      <c r="L169" s="312">
        <f t="shared" si="31"/>
        <v>468679.00104334945</v>
      </c>
      <c r="M169" s="312">
        <f t="shared" si="31"/>
        <v>495367.64050215296</v>
      </c>
      <c r="N169" s="312">
        <f t="shared" si="31"/>
        <v>494949.16516974615</v>
      </c>
      <c r="O169" s="312">
        <f t="shared" si="31"/>
        <v>529451.16094111151</v>
      </c>
      <c r="P169" s="312">
        <f t="shared" si="31"/>
        <v>557362.4734097094</v>
      </c>
      <c r="Q169" s="312">
        <f t="shared" si="31"/>
        <v>479545.98496107594</v>
      </c>
      <c r="R169" s="312">
        <f t="shared" si="31"/>
        <v>337362.63450500951</v>
      </c>
      <c r="S169" s="312">
        <f t="shared" si="31"/>
        <v>510818.87911866087</v>
      </c>
      <c r="T169" s="313">
        <f t="shared" si="31"/>
        <v>689322.66040399275</v>
      </c>
    </row>
    <row r="170" spans="3:20">
      <c r="C170" s="187" t="s">
        <v>421</v>
      </c>
      <c r="D170" s="498"/>
      <c r="E170" s="96"/>
      <c r="F170" s="96" t="s">
        <v>516</v>
      </c>
      <c r="G170" s="506">
        <f>G122/G$41</f>
        <v>698219.62690192158</v>
      </c>
      <c r="H170" s="312">
        <f t="shared" ref="H170:T170" si="32">H122/H$41</f>
        <v>649175.75948974944</v>
      </c>
      <c r="I170" s="312">
        <f t="shared" si="32"/>
        <v>1124049.3942116611</v>
      </c>
      <c r="J170" s="312">
        <f t="shared" si="32"/>
        <v>1650984.738609673</v>
      </c>
      <c r="K170" s="312">
        <f t="shared" si="32"/>
        <v>3175585.8685343587</v>
      </c>
      <c r="L170" s="312">
        <f t="shared" si="32"/>
        <v>6452018.2653345531</v>
      </c>
      <c r="M170" s="312">
        <f t="shared" si="32"/>
        <v>5630889.1400597049</v>
      </c>
      <c r="N170" s="312">
        <f t="shared" si="32"/>
        <v>4915520.0268276455</v>
      </c>
      <c r="O170" s="312">
        <f t="shared" si="32"/>
        <v>5132332.564247055</v>
      </c>
      <c r="P170" s="312">
        <f t="shared" si="32"/>
        <v>6275261.8361698426</v>
      </c>
      <c r="Q170" s="312">
        <f t="shared" si="32"/>
        <v>5525292.6262806319</v>
      </c>
      <c r="R170" s="312">
        <f t="shared" si="32"/>
        <v>3711231.2288594162</v>
      </c>
      <c r="S170" s="312">
        <f t="shared" si="32"/>
        <v>7926659.2857719688</v>
      </c>
      <c r="T170" s="313">
        <f t="shared" si="32"/>
        <v>9720495.8917344734</v>
      </c>
    </row>
    <row r="171" spans="3:20">
      <c r="C171" s="187" t="s">
        <v>423</v>
      </c>
      <c r="D171" s="498"/>
      <c r="E171" s="96"/>
      <c r="F171" s="96" t="s">
        <v>504</v>
      </c>
      <c r="G171" s="506">
        <f>G123/G$76</f>
        <v>9601.4878416569118</v>
      </c>
      <c r="H171" s="312">
        <f t="shared" ref="H171:T171" si="33">H123/H$76</f>
        <v>9113.4139149930634</v>
      </c>
      <c r="I171" s="312">
        <f t="shared" si="33"/>
        <v>14744.94784519044</v>
      </c>
      <c r="J171" s="312">
        <f t="shared" si="33"/>
        <v>19739.579663791872</v>
      </c>
      <c r="K171" s="312">
        <f t="shared" si="33"/>
        <v>31094.651855344124</v>
      </c>
      <c r="L171" s="312">
        <f t="shared" si="33"/>
        <v>56001.806472576158</v>
      </c>
      <c r="M171" s="312">
        <f t="shared" si="33"/>
        <v>55735.691291015275</v>
      </c>
      <c r="N171" s="312">
        <f t="shared" si="33"/>
        <v>56859.480978982538</v>
      </c>
      <c r="O171" s="312">
        <f t="shared" si="33"/>
        <v>61127.296612749633</v>
      </c>
      <c r="P171" s="312">
        <f t="shared" si="33"/>
        <v>62097.732804195257</v>
      </c>
      <c r="Q171" s="312">
        <f t="shared" si="33"/>
        <v>60146.820353949675</v>
      </c>
      <c r="R171" s="312">
        <f t="shared" si="33"/>
        <v>53843.706669643769</v>
      </c>
      <c r="S171" s="312">
        <f t="shared" si="33"/>
        <v>91649.987937711208</v>
      </c>
      <c r="T171" s="313">
        <f t="shared" si="33"/>
        <v>105794.20418798934</v>
      </c>
    </row>
    <row r="172" spans="3:20">
      <c r="C172" s="188" t="s">
        <v>426</v>
      </c>
      <c r="D172" s="514"/>
      <c r="E172" s="478"/>
      <c r="F172" s="478" t="s">
        <v>504</v>
      </c>
      <c r="G172" s="1364" t="e">
        <f>G124/G$58</f>
        <v>#DIV/0!</v>
      </c>
      <c r="H172" s="1463">
        <f t="shared" ref="H172:T172" si="34">H124/H$58</f>
        <v>9217.2743543636388</v>
      </c>
      <c r="I172" s="1463">
        <f t="shared" si="34"/>
        <v>13730.064456198344</v>
      </c>
      <c r="J172" s="1463">
        <f t="shared" si="34"/>
        <v>17526.967430671939</v>
      </c>
      <c r="K172" s="1463">
        <f t="shared" si="34"/>
        <v>27012.755742450598</v>
      </c>
      <c r="L172" s="1463">
        <f t="shared" si="34"/>
        <v>48878.765862292486</v>
      </c>
      <c r="M172" s="1463">
        <f t="shared" si="34"/>
        <v>50037.272476205515</v>
      </c>
      <c r="N172" s="1463">
        <f t="shared" si="34"/>
        <v>54734.168536284582</v>
      </c>
      <c r="O172" s="1463">
        <f t="shared" si="34"/>
        <v>56394.096136818174</v>
      </c>
      <c r="P172" s="1463">
        <f t="shared" si="34"/>
        <v>56752.759866300927</v>
      </c>
      <c r="Q172" s="1463">
        <f t="shared" si="34"/>
        <v>60596.226378339903</v>
      </c>
      <c r="R172" s="1463">
        <f t="shared" si="34"/>
        <v>54469.659523737369</v>
      </c>
      <c r="S172" s="1463">
        <f t="shared" si="34"/>
        <v>94383.292586545445</v>
      </c>
      <c r="T172" s="1466">
        <f t="shared" si="34"/>
        <v>106497.86701325512</v>
      </c>
    </row>
    <row r="173" spans="3:20">
      <c r="C173" s="591"/>
      <c r="D173" s="592"/>
      <c r="E173" s="591"/>
      <c r="F173" s="591"/>
      <c r="G173" s="1468"/>
      <c r="H173" s="593"/>
      <c r="I173" s="593"/>
      <c r="J173" s="593"/>
      <c r="K173" s="593"/>
      <c r="L173" s="593"/>
      <c r="M173" s="593"/>
      <c r="N173" s="593"/>
      <c r="O173" s="593"/>
      <c r="P173" s="593"/>
      <c r="Q173" s="593"/>
      <c r="R173" s="593"/>
      <c r="S173" s="593"/>
      <c r="T173" s="978"/>
    </row>
    <row r="174" spans="3:20">
      <c r="C174" s="582" t="s">
        <v>341</v>
      </c>
      <c r="D174" s="512"/>
      <c r="E174" s="475"/>
      <c r="F174" s="475" t="s">
        <v>503</v>
      </c>
      <c r="G174" s="1469">
        <v>1153085358.1243534</v>
      </c>
      <c r="H174" s="1464">
        <v>1223938718.0244784</v>
      </c>
      <c r="I174" s="1464">
        <v>1328574527.5028605</v>
      </c>
      <c r="J174" s="1464">
        <v>1173895269.2711358</v>
      </c>
      <c r="K174" s="1464">
        <v>1221760923.1981277</v>
      </c>
      <c r="L174" s="1464">
        <v>1201437211.902519</v>
      </c>
      <c r="M174" s="1464">
        <v>1256054948.1283584</v>
      </c>
      <c r="N174" s="1464">
        <v>1250567338.3578963</v>
      </c>
      <c r="O174" s="1464">
        <v>1281155010.312408</v>
      </c>
      <c r="P174" s="1464">
        <v>1221387105.0332799</v>
      </c>
      <c r="Q174" s="1464">
        <v>1276363554.0784986</v>
      </c>
      <c r="R174" s="1464">
        <v>1674104680.0659182</v>
      </c>
      <c r="S174" s="1464">
        <v>2027646992.6461322</v>
      </c>
      <c r="T174" s="31"/>
    </row>
    <row r="175" spans="3:20">
      <c r="C175" s="187" t="s">
        <v>497</v>
      </c>
      <c r="D175" s="498"/>
      <c r="E175" s="96"/>
      <c r="F175" s="96" t="s">
        <v>504</v>
      </c>
      <c r="G175" s="583">
        <f>G168+G161+G154+G147+G140</f>
        <v>15772798.159439705</v>
      </c>
      <c r="H175" s="1323">
        <f t="shared" ref="H175:T175" si="35">H168+H161+H154+H147+H140</f>
        <v>16395122.535902116</v>
      </c>
      <c r="I175" s="1323">
        <f t="shared" si="35"/>
        <v>16820871.980671704</v>
      </c>
      <c r="J175" s="1323">
        <f t="shared" si="35"/>
        <v>15102048.262181412</v>
      </c>
      <c r="K175" s="1323">
        <f t="shared" si="35"/>
        <v>14917175.604831621</v>
      </c>
      <c r="L175" s="1323">
        <f t="shared" si="35"/>
        <v>15177986.855944145</v>
      </c>
      <c r="M175" s="1323">
        <f t="shared" si="35"/>
        <v>15054705.709248854</v>
      </c>
      <c r="N175" s="1323">
        <f t="shared" si="35"/>
        <v>15485818.730843069</v>
      </c>
      <c r="O175" s="1323">
        <f t="shared" si="35"/>
        <v>14667128.717353728</v>
      </c>
      <c r="P175" s="1323">
        <f t="shared" si="35"/>
        <v>13978314.320107574</v>
      </c>
      <c r="Q175" s="1323">
        <f t="shared" si="35"/>
        <v>14302623.268211935</v>
      </c>
      <c r="R175" s="1323">
        <f t="shared" si="35"/>
        <v>15613672.292947475</v>
      </c>
      <c r="S175" s="1323">
        <f t="shared" si="35"/>
        <v>11383065.789781887</v>
      </c>
      <c r="T175" s="1354">
        <f t="shared" si="35"/>
        <v>13176232.111081226</v>
      </c>
    </row>
    <row r="176" spans="3:20">
      <c r="C176" s="187" t="s">
        <v>498</v>
      </c>
      <c r="D176" s="498"/>
      <c r="E176" s="96"/>
      <c r="F176" s="96" t="s">
        <v>505</v>
      </c>
      <c r="G176" s="583">
        <f t="shared" ref="G176:T176" si="36">G169+G162+G155+G148+G141</f>
        <v>17913887.590734318</v>
      </c>
      <c r="H176" s="1323">
        <f t="shared" si="36"/>
        <v>17978713.974228896</v>
      </c>
      <c r="I176" s="1323">
        <f t="shared" si="36"/>
        <v>19770956.600074071</v>
      </c>
      <c r="J176" s="1323">
        <f t="shared" si="36"/>
        <v>19443364.074059099</v>
      </c>
      <c r="K176" s="1323">
        <f t="shared" si="36"/>
        <v>20626555.679473501</v>
      </c>
      <c r="L176" s="1323">
        <f t="shared" si="36"/>
        <v>20950838.466924418</v>
      </c>
      <c r="M176" s="1323">
        <f t="shared" si="36"/>
        <v>22246108.879844382</v>
      </c>
      <c r="N176" s="1323">
        <f t="shared" si="36"/>
        <v>21066894.47591326</v>
      </c>
      <c r="O176" s="1323">
        <f>O169+O162+O155+O148+O141</f>
        <v>21367094.476022646</v>
      </c>
      <c r="P176" s="1323">
        <f t="shared" si="36"/>
        <v>22187207.455867764</v>
      </c>
      <c r="Q176" s="1323">
        <f t="shared" si="36"/>
        <v>18939230.266573973</v>
      </c>
      <c r="R176" s="1323">
        <f t="shared" si="36"/>
        <v>14928020.619508469</v>
      </c>
      <c r="S176" s="1323">
        <f t="shared" si="36"/>
        <v>16140350.649476916</v>
      </c>
      <c r="T176" s="1354">
        <f t="shared" si="36"/>
        <v>17790205.003789138</v>
      </c>
    </row>
    <row r="177" spans="3:20">
      <c r="C177" s="187" t="s">
        <v>499</v>
      </c>
      <c r="D177" s="498"/>
      <c r="E177" s="96"/>
      <c r="F177" s="96" t="s">
        <v>516</v>
      </c>
      <c r="G177" s="583">
        <f>G170+G163+G156+G149+G142</f>
        <v>179698536.0599674</v>
      </c>
      <c r="H177" s="1323">
        <f t="shared" ref="H177:T177" si="37">H170+H163+H156+H149+H142</f>
        <v>173713559.79816681</v>
      </c>
      <c r="I177" s="1323">
        <f t="shared" si="37"/>
        <v>201711174.66269702</v>
      </c>
      <c r="J177" s="1323">
        <f t="shared" si="37"/>
        <v>209522789.99201882</v>
      </c>
      <c r="K177" s="1323">
        <f t="shared" si="37"/>
        <v>267527773.60139608</v>
      </c>
      <c r="L177" s="1323">
        <f t="shared" si="37"/>
        <v>288417428.90496469</v>
      </c>
      <c r="M177" s="1323">
        <f t="shared" si="37"/>
        <v>252873548.16539955</v>
      </c>
      <c r="N177" s="1323">
        <f t="shared" si="37"/>
        <v>209222984.87745005</v>
      </c>
      <c r="O177" s="1323">
        <f t="shared" si="37"/>
        <v>207125874.62780482</v>
      </c>
      <c r="P177" s="1323">
        <f t="shared" si="37"/>
        <v>249802494.5009951</v>
      </c>
      <c r="Q177" s="1323">
        <f t="shared" si="37"/>
        <v>218216380.95421863</v>
      </c>
      <c r="R177" s="1323">
        <f t="shared" si="37"/>
        <v>164218946.1481528</v>
      </c>
      <c r="S177" s="1323">
        <f t="shared" si="37"/>
        <v>250458754.71954149</v>
      </c>
      <c r="T177" s="1354">
        <f t="shared" si="37"/>
        <v>250868895.78110951</v>
      </c>
    </row>
    <row r="178" spans="3:20">
      <c r="C178" s="187" t="s">
        <v>500</v>
      </c>
      <c r="D178" s="498"/>
      <c r="E178" s="96"/>
      <c r="F178" s="96" t="s">
        <v>504</v>
      </c>
      <c r="G178" s="583">
        <f t="shared" ref="G178:T178" si="38">G171+G164+G157+G150+G143</f>
        <v>2471103.9945969395</v>
      </c>
      <c r="H178" s="1323">
        <f t="shared" si="38"/>
        <v>2438667.1097083543</v>
      </c>
      <c r="I178" s="1323">
        <f t="shared" si="38"/>
        <v>2645987.5922796982</v>
      </c>
      <c r="J178" s="1323">
        <f t="shared" si="38"/>
        <v>2505106.0180667127</v>
      </c>
      <c r="K178" s="1323">
        <f t="shared" si="38"/>
        <v>2619574.253745527</v>
      </c>
      <c r="L178" s="1323">
        <f t="shared" si="38"/>
        <v>2503386.7501018783</v>
      </c>
      <c r="M178" s="1323">
        <f t="shared" si="38"/>
        <v>2502994.0504317847</v>
      </c>
      <c r="N178" s="1323">
        <f t="shared" si="38"/>
        <v>2420152.9571801797</v>
      </c>
      <c r="O178" s="1323">
        <f t="shared" si="38"/>
        <v>2466918.2318286644</v>
      </c>
      <c r="P178" s="1323">
        <f t="shared" si="38"/>
        <v>2471955.5872448231</v>
      </c>
      <c r="Q178" s="1323">
        <f t="shared" si="38"/>
        <v>2375443.6825869223</v>
      </c>
      <c r="R178" s="1323">
        <f t="shared" si="38"/>
        <v>2382539.976825064</v>
      </c>
      <c r="S178" s="1323">
        <f t="shared" si="38"/>
        <v>2895865.8397419229</v>
      </c>
      <c r="T178" s="1354">
        <f t="shared" si="38"/>
        <v>2730362.2654940882</v>
      </c>
    </row>
    <row r="179" spans="3:20">
      <c r="C179" s="188" t="s">
        <v>501</v>
      </c>
      <c r="D179" s="514"/>
      <c r="E179" s="478"/>
      <c r="F179" s="478" t="s">
        <v>504</v>
      </c>
      <c r="G179" s="589" t="e">
        <f>G172+G165+G158+G151+G144</f>
        <v>#DIV/0!</v>
      </c>
      <c r="H179" s="1470">
        <f>H172+H165+H158+H151+H144</f>
        <v>2466459.2236028183</v>
      </c>
      <c r="I179" s="1470">
        <f t="shared" ref="I179:S179" si="39">I172+I165+I158+I151+I144</f>
        <v>2463866.3068687245</v>
      </c>
      <c r="J179" s="1470">
        <f t="shared" si="39"/>
        <v>2224308.3356822217</v>
      </c>
      <c r="K179" s="1470">
        <f t="shared" si="39"/>
        <v>2275694.2188911699</v>
      </c>
      <c r="L179" s="1470">
        <f t="shared" si="39"/>
        <v>2184973.3522599023</v>
      </c>
      <c r="M179" s="1470">
        <f t="shared" si="39"/>
        <v>2247087.8607002404</v>
      </c>
      <c r="N179" s="1470">
        <f t="shared" si="39"/>
        <v>2329691.6813372192</v>
      </c>
      <c r="O179" s="1470">
        <f t="shared" si="39"/>
        <v>2275900.1565005956</v>
      </c>
      <c r="P179" s="1470">
        <f t="shared" si="39"/>
        <v>2259185.5693898774</v>
      </c>
      <c r="Q179" s="1470">
        <f t="shared" si="39"/>
        <v>2393192.562665238</v>
      </c>
      <c r="R179" s="1470">
        <f t="shared" si="39"/>
        <v>2410237.8785990989</v>
      </c>
      <c r="S179" s="1471">
        <f t="shared" si="39"/>
        <v>2982230.1016504602</v>
      </c>
      <c r="T179" s="1472">
        <f>T172+T165+T158+T151+T144</f>
        <v>2748522.5649214815</v>
      </c>
    </row>
    <row r="181" spans="3:20">
      <c r="C181" s="15" t="s">
        <v>507</v>
      </c>
    </row>
    <row r="183" spans="3:20">
      <c r="C183" s="387" t="s">
        <v>336</v>
      </c>
      <c r="D183" s="326"/>
      <c r="E183" s="70"/>
      <c r="F183" s="70"/>
      <c r="G183" s="344">
        <v>2011</v>
      </c>
      <c r="H183" s="345">
        <v>2012</v>
      </c>
      <c r="I183" s="345">
        <v>2013</v>
      </c>
      <c r="J183" s="345">
        <v>2014</v>
      </c>
      <c r="K183" s="345">
        <v>2015</v>
      </c>
      <c r="L183" s="345">
        <v>2016</v>
      </c>
      <c r="M183" s="345">
        <v>2017</v>
      </c>
      <c r="N183" s="345">
        <v>2018</v>
      </c>
      <c r="O183" s="345">
        <v>2019</v>
      </c>
      <c r="P183" s="345">
        <v>2020</v>
      </c>
      <c r="Q183" s="345">
        <v>2021</v>
      </c>
      <c r="R183" s="345">
        <v>2022</v>
      </c>
      <c r="S183" s="345">
        <v>2023</v>
      </c>
      <c r="T183" s="346">
        <v>2024</v>
      </c>
    </row>
    <row r="184" spans="3:20">
      <c r="C184" s="388" t="s">
        <v>337</v>
      </c>
      <c r="D184" s="467"/>
      <c r="E184" s="467"/>
      <c r="F184" s="467"/>
      <c r="G184" s="388"/>
      <c r="H184" s="467"/>
      <c r="I184" s="467"/>
      <c r="J184" s="467"/>
      <c r="K184" s="467"/>
      <c r="L184" s="467"/>
      <c r="M184" s="467"/>
      <c r="N184" s="467"/>
      <c r="O184" s="467"/>
      <c r="P184" s="467"/>
      <c r="Q184" s="467"/>
      <c r="R184" s="467"/>
      <c r="S184" s="1461"/>
      <c r="T184" s="467"/>
    </row>
    <row r="185" spans="3:20">
      <c r="C185" s="432" t="s">
        <v>343</v>
      </c>
      <c r="D185" s="316"/>
      <c r="F185" s="96" t="s">
        <v>503</v>
      </c>
      <c r="G185" s="1359">
        <v>324628406.63393021</v>
      </c>
      <c r="H185" s="1360">
        <v>350001294.7467643</v>
      </c>
      <c r="I185" s="1360">
        <v>342213589.70560068</v>
      </c>
      <c r="J185" s="1360">
        <v>326542625.8800168</v>
      </c>
      <c r="K185" s="1360">
        <v>282523429.31331772</v>
      </c>
      <c r="L185" s="1360">
        <v>258236929.42122</v>
      </c>
      <c r="M185" s="1360">
        <v>273232794.45404583</v>
      </c>
      <c r="N185" s="1360">
        <v>305520248.28381133</v>
      </c>
      <c r="O185" s="1360">
        <v>300765819.21442115</v>
      </c>
      <c r="P185" s="1360">
        <v>238270474.49147913</v>
      </c>
      <c r="Q185" s="1360">
        <v>287668041.10566258</v>
      </c>
      <c r="R185" s="1360">
        <v>358434438.11323756</v>
      </c>
      <c r="S185" s="1360">
        <v>357751837.35177112</v>
      </c>
      <c r="T185" s="1473">
        <v>346406836.9825781</v>
      </c>
    </row>
    <row r="186" spans="3:20">
      <c r="C186" s="71" t="s">
        <v>436</v>
      </c>
      <c r="D186" s="316"/>
      <c r="E186" s="316"/>
      <c r="G186" s="1320">
        <v>220747316.51107255</v>
      </c>
      <c r="H186" s="1321">
        <v>238000880.42779973</v>
      </c>
      <c r="I186" s="1321">
        <v>232705240.99980849</v>
      </c>
      <c r="J186" s="1321">
        <v>222048985.59841144</v>
      </c>
      <c r="K186" s="1321">
        <v>192115931.93305606</v>
      </c>
      <c r="L186" s="1321">
        <v>175601112.00642961</v>
      </c>
      <c r="M186" s="1321">
        <v>185798300.22875118</v>
      </c>
      <c r="N186" s="1321">
        <v>207753768.83299172</v>
      </c>
      <c r="O186" s="1321">
        <v>204520757.06580639</v>
      </c>
      <c r="P186" s="1321">
        <v>162023922.65420583</v>
      </c>
      <c r="Q186" s="1321">
        <v>195614267.95185056</v>
      </c>
      <c r="R186" s="1321">
        <v>243735417.91700155</v>
      </c>
      <c r="S186" s="1321">
        <v>243271249.39920437</v>
      </c>
      <c r="T186" s="1322">
        <v>235556649.14815313</v>
      </c>
    </row>
    <row r="187" spans="3:20">
      <c r="C187" s="71" t="s">
        <v>437</v>
      </c>
      <c r="D187" s="316"/>
      <c r="E187" s="316"/>
      <c r="G187" s="1320">
        <v>68171965.39312534</v>
      </c>
      <c r="H187" s="1321">
        <v>73500271.8968205</v>
      </c>
      <c r="I187" s="1321">
        <v>71864853.838176146</v>
      </c>
      <c r="J187" s="1321">
        <v>68573951.434803531</v>
      </c>
      <c r="K187" s="1321">
        <v>59329920.155796722</v>
      </c>
      <c r="L187" s="1321">
        <v>54229755.178456202</v>
      </c>
      <c r="M187" s="1321">
        <v>57378886.835349619</v>
      </c>
      <c r="N187" s="1321">
        <v>64159252.139600374</v>
      </c>
      <c r="O187" s="1321">
        <v>63160822.035028443</v>
      </c>
      <c r="P187" s="1321">
        <v>50036799.643210612</v>
      </c>
      <c r="Q187" s="1321">
        <v>60410288.63218914</v>
      </c>
      <c r="R187" s="1321">
        <v>75271232.003779888</v>
      </c>
      <c r="S187" s="1321">
        <v>75127885.843871936</v>
      </c>
      <c r="T187" s="1324">
        <v>72745435.766341403</v>
      </c>
    </row>
    <row r="188" spans="3:20">
      <c r="C188" s="71" t="s">
        <v>416</v>
      </c>
      <c r="D188" s="316"/>
      <c r="E188" s="316"/>
      <c r="G188" s="1320">
        <v>35709124.72973232</v>
      </c>
      <c r="H188" s="1321">
        <v>38500142.42214407</v>
      </c>
      <c r="I188" s="1321">
        <v>37643494.867616072</v>
      </c>
      <c r="J188" s="1321">
        <v>35919688.846801847</v>
      </c>
      <c r="K188" s="1321">
        <v>31077577.224464949</v>
      </c>
      <c r="L188" s="1321">
        <v>28406062.236334201</v>
      </c>
      <c r="M188" s="1321">
        <v>30055607.389945041</v>
      </c>
      <c r="N188" s="1321">
        <v>33607227.311219245</v>
      </c>
      <c r="O188" s="1321">
        <v>33084240.113586325</v>
      </c>
      <c r="P188" s="1321">
        <v>26209752.194062706</v>
      </c>
      <c r="Q188" s="1321">
        <v>31643484.521622885</v>
      </c>
      <c r="R188" s="1321">
        <v>39427788.192456134</v>
      </c>
      <c r="S188" s="1321">
        <v>39352702.108694822</v>
      </c>
      <c r="T188" s="1324">
        <v>38104752.068083592</v>
      </c>
    </row>
    <row r="189" spans="3:20">
      <c r="C189" s="363" t="s">
        <v>438</v>
      </c>
      <c r="D189" s="316"/>
      <c r="E189" s="316"/>
      <c r="G189" s="1320">
        <v>8213098.6878384342</v>
      </c>
      <c r="H189" s="1321">
        <v>8855032.7570931371</v>
      </c>
      <c r="I189" s="1321">
        <v>8658003.819551697</v>
      </c>
      <c r="J189" s="1321">
        <v>8261528.4347644253</v>
      </c>
      <c r="K189" s="1321">
        <v>7147842.7616269384</v>
      </c>
      <c r="L189" s="1321">
        <v>6533394.3143568663</v>
      </c>
      <c r="M189" s="1321">
        <v>6912789.6996873599</v>
      </c>
      <c r="N189" s="1321">
        <v>7729662.2815804267</v>
      </c>
      <c r="O189" s="1321">
        <v>7609375.2261248548</v>
      </c>
      <c r="P189" s="1321">
        <v>6028243.0046344223</v>
      </c>
      <c r="Q189" s="1321">
        <v>7278001.4399732631</v>
      </c>
      <c r="R189" s="1321">
        <v>9068391.284264911</v>
      </c>
      <c r="S189" s="1321">
        <v>9051121.4849998094</v>
      </c>
      <c r="T189" s="1324">
        <v>8764092.9756592251</v>
      </c>
    </row>
    <row r="190" spans="3:20">
      <c r="C190" s="363" t="s">
        <v>439</v>
      </c>
      <c r="D190" s="316"/>
      <c r="E190" s="316"/>
      <c r="G190" s="1320">
        <v>18925836.106758133</v>
      </c>
      <c r="H190" s="1321">
        <v>20405075.483736359</v>
      </c>
      <c r="I190" s="1321">
        <v>19951052.279836521</v>
      </c>
      <c r="J190" s="1321">
        <v>19037435.088804983</v>
      </c>
      <c r="K190" s="1321">
        <v>16471115.928966423</v>
      </c>
      <c r="L190" s="1321">
        <v>15055212.985257128</v>
      </c>
      <c r="M190" s="1321">
        <v>15929471.916670874</v>
      </c>
      <c r="N190" s="1321">
        <v>17811830.474946201</v>
      </c>
      <c r="O190" s="1321">
        <v>17534647.260200754</v>
      </c>
      <c r="P190" s="1321">
        <v>13891168.662853234</v>
      </c>
      <c r="Q190" s="1321">
        <v>16771046.796460129</v>
      </c>
      <c r="R190" s="1321">
        <v>20896727.74200175</v>
      </c>
      <c r="S190" s="1321">
        <v>20856932.117608257</v>
      </c>
      <c r="T190" s="1324">
        <v>20195518.596084304</v>
      </c>
    </row>
    <row r="191" spans="3:20">
      <c r="C191" s="363" t="s">
        <v>440</v>
      </c>
      <c r="D191" s="316"/>
      <c r="E191" s="316"/>
      <c r="G191" s="1320">
        <v>3928003.7202705555</v>
      </c>
      <c r="H191" s="1321">
        <v>4235015.666435848</v>
      </c>
      <c r="I191" s="1321">
        <v>4140784.4354377682</v>
      </c>
      <c r="J191" s="1321">
        <v>3951165.7731482033</v>
      </c>
      <c r="K191" s="1321">
        <v>3418533.4946911442</v>
      </c>
      <c r="L191" s="1321">
        <v>3124666.8459967622</v>
      </c>
      <c r="M191" s="1321">
        <v>3306116.8128939546</v>
      </c>
      <c r="N191" s="1321">
        <v>3696795.004234117</v>
      </c>
      <c r="O191" s="1321">
        <v>3639266.412494496</v>
      </c>
      <c r="P191" s="1321">
        <v>2883072.7413468976</v>
      </c>
      <c r="Q191" s="1321">
        <v>3480783.2973785172</v>
      </c>
      <c r="R191" s="1321">
        <v>4337056.7011701744</v>
      </c>
      <c r="S191" s="1321">
        <v>4328797.2319564307</v>
      </c>
      <c r="T191" s="1324">
        <v>4191522.7274891948</v>
      </c>
    </row>
    <row r="192" spans="3:20">
      <c r="C192" s="363" t="s">
        <v>441</v>
      </c>
      <c r="D192" s="316"/>
      <c r="E192" s="316"/>
      <c r="G192" s="1320">
        <v>2499638.7310812632</v>
      </c>
      <c r="H192" s="1321">
        <v>2695009.9695500857</v>
      </c>
      <c r="I192" s="1321">
        <v>2635044.6407331256</v>
      </c>
      <c r="J192" s="1321">
        <v>2514378.2192761297</v>
      </c>
      <c r="K192" s="1321">
        <v>2175430.4057125468</v>
      </c>
      <c r="L192" s="1321">
        <v>1988424.3565433943</v>
      </c>
      <c r="M192" s="1321">
        <v>2103892.5172961531</v>
      </c>
      <c r="N192" s="1321">
        <v>2352505.9117853474</v>
      </c>
      <c r="O192" s="1321">
        <v>2315896.8079510434</v>
      </c>
      <c r="P192" s="1321">
        <v>1834682.6535843895</v>
      </c>
      <c r="Q192" s="1321">
        <v>2215043.9165136022</v>
      </c>
      <c r="R192" s="1321">
        <v>2759945.1734719295</v>
      </c>
      <c r="S192" s="1321">
        <v>2754689.1476086378</v>
      </c>
      <c r="T192" s="1324">
        <v>2667332.6447658516</v>
      </c>
    </row>
    <row r="193" spans="3:20">
      <c r="C193" s="363" t="s">
        <v>442</v>
      </c>
      <c r="D193" s="316"/>
      <c r="E193" s="316"/>
      <c r="G193" s="1320">
        <v>1785456.2364866163</v>
      </c>
      <c r="H193" s="1321">
        <v>1925007.1211072039</v>
      </c>
      <c r="I193" s="1321">
        <v>1882174.7433808038</v>
      </c>
      <c r="J193" s="1321">
        <v>1795984.4423400925</v>
      </c>
      <c r="K193" s="1321">
        <v>1553878.8612232476</v>
      </c>
      <c r="L193" s="1321">
        <v>1420303.1118167101</v>
      </c>
      <c r="M193" s="1321">
        <v>1502780.3694972522</v>
      </c>
      <c r="N193" s="1321">
        <v>1680361.3655609626</v>
      </c>
      <c r="O193" s="1321">
        <v>1654212.0056793166</v>
      </c>
      <c r="P193" s="1321">
        <v>1310487.6097031354</v>
      </c>
      <c r="Q193" s="1321">
        <v>1582174.2260811443</v>
      </c>
      <c r="R193" s="1321">
        <v>1971389.4096228068</v>
      </c>
      <c r="S193" s="1321">
        <v>1967635.1054347414</v>
      </c>
      <c r="T193" s="1324">
        <v>1905237.6034041797</v>
      </c>
    </row>
    <row r="194" spans="3:20">
      <c r="C194" s="388" t="s">
        <v>345</v>
      </c>
      <c r="D194" s="467"/>
      <c r="E194" s="467"/>
      <c r="F194" s="467"/>
      <c r="G194" s="522"/>
      <c r="H194" s="468"/>
      <c r="I194" s="468"/>
      <c r="J194" s="468"/>
      <c r="K194" s="468"/>
      <c r="L194" s="468"/>
      <c r="M194" s="468"/>
      <c r="N194" s="468"/>
      <c r="O194" s="468"/>
      <c r="P194" s="468"/>
      <c r="Q194" s="468"/>
      <c r="R194" s="468"/>
      <c r="S194" s="1098"/>
      <c r="T194" s="467"/>
    </row>
    <row r="195" spans="3:20">
      <c r="C195" s="437" t="s">
        <v>343</v>
      </c>
      <c r="D195" s="316"/>
      <c r="F195" s="96" t="s">
        <v>503</v>
      </c>
      <c r="G195" s="1359">
        <v>150759988.55117926</v>
      </c>
      <c r="H195" s="1360">
        <v>167671181.45233333</v>
      </c>
      <c r="I195" s="1360">
        <v>165942327.97413757</v>
      </c>
      <c r="J195" s="1360">
        <v>165593100.64243725</v>
      </c>
      <c r="K195" s="1360">
        <v>148319318.9121609</v>
      </c>
      <c r="L195" s="1360">
        <v>142733521.38217974</v>
      </c>
      <c r="M195" s="1360">
        <v>170866821.22028431</v>
      </c>
      <c r="N195" s="1360">
        <v>198667360.99765268</v>
      </c>
      <c r="O195" s="1360">
        <v>202644797.54296622</v>
      </c>
      <c r="P195" s="1360">
        <v>166468591.35010388</v>
      </c>
      <c r="Q195" s="1360">
        <v>197108307.61011773</v>
      </c>
      <c r="R195" s="1360">
        <v>263111081.21258521</v>
      </c>
      <c r="S195" s="1360">
        <v>251593532.58300263</v>
      </c>
      <c r="T195" s="1473">
        <v>242349786.92851707</v>
      </c>
    </row>
    <row r="196" spans="3:20">
      <c r="C196" s="71" t="s">
        <v>436</v>
      </c>
      <c r="D196" s="316"/>
      <c r="G196" s="1320">
        <v>102516792.21480191</v>
      </c>
      <c r="H196" s="1321">
        <v>114016403.38758667</v>
      </c>
      <c r="I196" s="1321">
        <v>112840783.02241355</v>
      </c>
      <c r="J196" s="1321">
        <v>112603308.43685734</v>
      </c>
      <c r="K196" s="1321">
        <v>100857136.86026943</v>
      </c>
      <c r="L196" s="1321">
        <v>97058794.539882228</v>
      </c>
      <c r="M196" s="1321">
        <v>116189438.42979334</v>
      </c>
      <c r="N196" s="1321">
        <v>135093805.47840384</v>
      </c>
      <c r="O196" s="1321">
        <v>137798462.32921705</v>
      </c>
      <c r="P196" s="1321">
        <v>113198642.11807065</v>
      </c>
      <c r="Q196" s="1321">
        <v>134033649.17488007</v>
      </c>
      <c r="R196" s="1321">
        <v>178915535.22455797</v>
      </c>
      <c r="S196" s="1321">
        <v>171083602.15644181</v>
      </c>
      <c r="T196" s="1324">
        <v>164797855.11139163</v>
      </c>
    </row>
    <row r="197" spans="3:20">
      <c r="C197" s="71" t="s">
        <v>437</v>
      </c>
      <c r="D197" s="316"/>
      <c r="G197" s="1320">
        <v>31659597.595747642</v>
      </c>
      <c r="H197" s="1321">
        <v>35210948.104989998</v>
      </c>
      <c r="I197" s="1321">
        <v>34847888.874568887</v>
      </c>
      <c r="J197" s="1321">
        <v>34774551.13491182</v>
      </c>
      <c r="K197" s="1321">
        <v>31147056.971553788</v>
      </c>
      <c r="L197" s="1321">
        <v>29974039.490257744</v>
      </c>
      <c r="M197" s="1321">
        <v>35882032.456259705</v>
      </c>
      <c r="N197" s="1321">
        <v>41720145.809507065</v>
      </c>
      <c r="O197" s="1321">
        <v>42555407.4840229</v>
      </c>
      <c r="P197" s="1321">
        <v>34958404.183521815</v>
      </c>
      <c r="Q197" s="1321">
        <v>41392744.59812472</v>
      </c>
      <c r="R197" s="1321">
        <v>55253327.054642893</v>
      </c>
      <c r="S197" s="1321">
        <v>52834641.842430547</v>
      </c>
      <c r="T197" s="1324">
        <v>50893455.254988581</v>
      </c>
    </row>
    <row r="198" spans="3:20">
      <c r="C198" s="71" t="s">
        <v>416</v>
      </c>
      <c r="D198" s="316"/>
      <c r="G198" s="1320">
        <v>16583598.74062972</v>
      </c>
      <c r="H198" s="1321">
        <v>18443829.959756665</v>
      </c>
      <c r="I198" s="1321">
        <v>18253656.077155132</v>
      </c>
      <c r="J198" s="1321">
        <v>18215241.070668098</v>
      </c>
      <c r="K198" s="1321">
        <v>16315125.0803377</v>
      </c>
      <c r="L198" s="1321">
        <v>15700687.352039771</v>
      </c>
      <c r="M198" s="1321">
        <v>18795350.334231276</v>
      </c>
      <c r="N198" s="1321">
        <v>21853409.709741794</v>
      </c>
      <c r="O198" s="1321">
        <v>22290927.729726285</v>
      </c>
      <c r="P198" s="1321">
        <v>18311545.048511427</v>
      </c>
      <c r="Q198" s="1321">
        <v>21681913.837112952</v>
      </c>
      <c r="R198" s="1321">
        <v>28942218.933384374</v>
      </c>
      <c r="S198" s="1321">
        <v>27675288.584130291</v>
      </c>
      <c r="T198" s="1324">
        <v>26658476.562136877</v>
      </c>
    </row>
    <row r="199" spans="3:20">
      <c r="C199" s="363" t="s">
        <v>438</v>
      </c>
      <c r="D199" s="316"/>
      <c r="G199" s="1320">
        <v>3814227.7103448352</v>
      </c>
      <c r="H199" s="1321">
        <v>4242080.8907440333</v>
      </c>
      <c r="I199" s="1321">
        <v>4198340.897745681</v>
      </c>
      <c r="J199" s="1321">
        <v>4189505.4462536625</v>
      </c>
      <c r="K199" s="1321">
        <v>3752478.7684776708</v>
      </c>
      <c r="L199" s="1321">
        <v>3611158.0909691472</v>
      </c>
      <c r="M199" s="1321">
        <v>4322930.5768731935</v>
      </c>
      <c r="N199" s="1321">
        <v>5026284.2332406128</v>
      </c>
      <c r="O199" s="1321">
        <v>5126913.3778370451</v>
      </c>
      <c r="P199" s="1321">
        <v>4211655.3611576278</v>
      </c>
      <c r="Q199" s="1321">
        <v>4986840.182535979</v>
      </c>
      <c r="R199" s="1321">
        <v>6656710.3546784054</v>
      </c>
      <c r="S199" s="1321">
        <v>6365316.3743499666</v>
      </c>
      <c r="T199" s="1324">
        <v>6131449.6092914818</v>
      </c>
    </row>
    <row r="200" spans="3:20">
      <c r="C200" s="363" t="s">
        <v>439</v>
      </c>
      <c r="D200" s="316"/>
      <c r="G200" s="1320">
        <v>8789307.3325337507</v>
      </c>
      <c r="H200" s="1321">
        <v>9775229.8786710333</v>
      </c>
      <c r="I200" s="1321">
        <v>9674437.7208922207</v>
      </c>
      <c r="J200" s="1321">
        <v>9654077.7674540933</v>
      </c>
      <c r="K200" s="1321">
        <v>8647016.2925789822</v>
      </c>
      <c r="L200" s="1321">
        <v>8321364.2965810793</v>
      </c>
      <c r="M200" s="1321">
        <v>9961535.6771425754</v>
      </c>
      <c r="N200" s="1321">
        <v>11582307.146163153</v>
      </c>
      <c r="O200" s="1321">
        <v>11814191.696754931</v>
      </c>
      <c r="P200" s="1321">
        <v>9705118.8757110573</v>
      </c>
      <c r="Q200" s="1321">
        <v>11491414.333669866</v>
      </c>
      <c r="R200" s="1321">
        <v>15339376.03469372</v>
      </c>
      <c r="S200" s="1321">
        <v>14667902.949589055</v>
      </c>
      <c r="T200" s="1324">
        <v>14128992.577932546</v>
      </c>
    </row>
    <row r="201" spans="3:20">
      <c r="C201" s="363" t="s">
        <v>440</v>
      </c>
      <c r="D201" s="316"/>
      <c r="G201" s="1320">
        <v>1824195.861469269</v>
      </c>
      <c r="H201" s="1321">
        <v>2028821.2955732332</v>
      </c>
      <c r="I201" s="1321">
        <v>2007902.1684870645</v>
      </c>
      <c r="J201" s="1321">
        <v>2003676.5177734906</v>
      </c>
      <c r="K201" s="1321">
        <v>1794663.7588371469</v>
      </c>
      <c r="L201" s="1321">
        <v>1727075.6087243748</v>
      </c>
      <c r="M201" s="1321">
        <v>2067488.5367654401</v>
      </c>
      <c r="N201" s="1321">
        <v>2403875.0680715973</v>
      </c>
      <c r="O201" s="1321">
        <v>2452002.050269891</v>
      </c>
      <c r="P201" s="1321">
        <v>2014269.9553362569</v>
      </c>
      <c r="Q201" s="1321">
        <v>2385010.5220824247</v>
      </c>
      <c r="R201" s="1321">
        <v>3183644.0826722807</v>
      </c>
      <c r="S201" s="1321">
        <v>3044281.7442543316</v>
      </c>
      <c r="T201" s="1324">
        <v>2932432.4218350565</v>
      </c>
    </row>
    <row r="202" spans="3:20">
      <c r="C202" s="363" t="s">
        <v>441</v>
      </c>
      <c r="D202" s="316"/>
      <c r="G202" s="1320">
        <v>1160851.9118440805</v>
      </c>
      <c r="H202" s="1321">
        <v>1291068.0971829668</v>
      </c>
      <c r="I202" s="1321">
        <v>1277755.9254008594</v>
      </c>
      <c r="J202" s="1321">
        <v>1275066.874946767</v>
      </c>
      <c r="K202" s="1321">
        <v>1142058.7556236391</v>
      </c>
      <c r="L202" s="1321">
        <v>1099048.1146427842</v>
      </c>
      <c r="M202" s="1321">
        <v>1315674.5233961893</v>
      </c>
      <c r="N202" s="1321">
        <v>1529738.6796819258</v>
      </c>
      <c r="O202" s="1321">
        <v>1560364.9410808401</v>
      </c>
      <c r="P202" s="1321">
        <v>1281808.1533958002</v>
      </c>
      <c r="Q202" s="1321">
        <v>1517733.9685979069</v>
      </c>
      <c r="R202" s="1321">
        <v>2025955.3253369064</v>
      </c>
      <c r="S202" s="1321">
        <v>1937270.2008891206</v>
      </c>
      <c r="T202" s="1324">
        <v>1866093.3593495816</v>
      </c>
    </row>
    <row r="203" spans="3:20">
      <c r="C203" s="363" t="s">
        <v>442</v>
      </c>
      <c r="D203" s="316"/>
      <c r="G203" s="1320">
        <v>829179.93703148596</v>
      </c>
      <c r="H203" s="1321">
        <v>922191.49798783346</v>
      </c>
      <c r="I203" s="1321">
        <v>912682.80385775678</v>
      </c>
      <c r="J203" s="1321">
        <v>910762.05353340495</v>
      </c>
      <c r="K203" s="1321">
        <v>815756.25401688507</v>
      </c>
      <c r="L203" s="1321">
        <v>785034.3676019886</v>
      </c>
      <c r="M203" s="1321">
        <v>939767.5167115638</v>
      </c>
      <c r="N203" s="1321">
        <v>1092670.48548709</v>
      </c>
      <c r="O203" s="1321">
        <v>1114546.3864863142</v>
      </c>
      <c r="P203" s="1321">
        <v>915577.25242557144</v>
      </c>
      <c r="Q203" s="1321">
        <v>1084095.6918556476</v>
      </c>
      <c r="R203" s="1321">
        <v>1447110.9466692188</v>
      </c>
      <c r="S203" s="1321">
        <v>1383764.4292065145</v>
      </c>
      <c r="T203" s="1324">
        <v>1332923.8281068441</v>
      </c>
    </row>
    <row r="204" spans="3:20">
      <c r="C204" s="388" t="s">
        <v>346</v>
      </c>
      <c r="D204" s="467"/>
      <c r="E204" s="467"/>
      <c r="F204" s="467"/>
      <c r="G204" s="522"/>
      <c r="H204" s="468"/>
      <c r="I204" s="468"/>
      <c r="J204" s="468"/>
      <c r="K204" s="468"/>
      <c r="L204" s="468"/>
      <c r="M204" s="468"/>
      <c r="N204" s="468"/>
      <c r="O204" s="468"/>
      <c r="P204" s="468"/>
      <c r="Q204" s="468"/>
      <c r="R204" s="468"/>
      <c r="S204" s="1098"/>
      <c r="T204" s="467"/>
    </row>
    <row r="205" spans="3:20">
      <c r="C205" s="437" t="s">
        <v>343</v>
      </c>
      <c r="F205" s="96" t="s">
        <v>503</v>
      </c>
      <c r="G205" s="1359">
        <v>80604103.896556765</v>
      </c>
      <c r="H205" s="1360">
        <v>87406364.906085491</v>
      </c>
      <c r="I205" s="1360">
        <v>85697078.523032755</v>
      </c>
      <c r="J205" s="1360">
        <v>81852825.473536476</v>
      </c>
      <c r="K205" s="1360">
        <v>73752997.631663412</v>
      </c>
      <c r="L205" s="1360">
        <v>68846630.996527508</v>
      </c>
      <c r="M205" s="1360">
        <v>69792531.486041397</v>
      </c>
      <c r="N205" s="1360">
        <v>84644517.039625049</v>
      </c>
      <c r="O205" s="1360">
        <v>85207450.767578378</v>
      </c>
      <c r="P205" s="1360">
        <v>70232068.24718146</v>
      </c>
      <c r="Q205" s="1360">
        <v>85056021.043333322</v>
      </c>
      <c r="R205" s="1360">
        <v>112484599.37867735</v>
      </c>
      <c r="S205" s="1360">
        <v>107917933.21416271</v>
      </c>
      <c r="T205" s="1473">
        <v>100244961.271529</v>
      </c>
    </row>
    <row r="206" spans="3:20">
      <c r="C206" s="71" t="s">
        <v>436</v>
      </c>
      <c r="G206" s="1320">
        <v>54810790.649658605</v>
      </c>
      <c r="H206" s="1321">
        <v>59436328.136138141</v>
      </c>
      <c r="I206" s="1321">
        <v>58274013.395662278</v>
      </c>
      <c r="J206" s="1321">
        <v>55659921.32200481</v>
      </c>
      <c r="K206" s="1321">
        <v>50152038.389531121</v>
      </c>
      <c r="L206" s="1321">
        <v>46815709.077638708</v>
      </c>
      <c r="M206" s="1321">
        <v>47458921.410508156</v>
      </c>
      <c r="N206" s="1321">
        <v>57558271.586945035</v>
      </c>
      <c r="O206" s="1321">
        <v>57941066.5219533</v>
      </c>
      <c r="P206" s="1321">
        <v>47757806.408083394</v>
      </c>
      <c r="Q206" s="1321">
        <v>57838094.30946666</v>
      </c>
      <c r="R206" s="1321">
        <v>76489527.577500612</v>
      </c>
      <c r="S206" s="1321">
        <v>73384194.58563064</v>
      </c>
      <c r="T206" s="1324">
        <v>68166573.664639726</v>
      </c>
    </row>
    <row r="207" spans="3:20">
      <c r="C207" s="71" t="s">
        <v>437</v>
      </c>
      <c r="G207" s="1320">
        <v>16926861.818276919</v>
      </c>
      <c r="H207" s="1321">
        <v>18355336.630277954</v>
      </c>
      <c r="I207" s="1321">
        <v>17996386.489836879</v>
      </c>
      <c r="J207" s="1321">
        <v>17189093.349442661</v>
      </c>
      <c r="K207" s="1321">
        <v>15488129.502649317</v>
      </c>
      <c r="L207" s="1321">
        <v>14457792.509270776</v>
      </c>
      <c r="M207" s="1321">
        <v>14656431.612068692</v>
      </c>
      <c r="N207" s="1321">
        <v>17775348.578321259</v>
      </c>
      <c r="O207" s="1321">
        <v>17893564.66119146</v>
      </c>
      <c r="P207" s="1321">
        <v>14748734.331908107</v>
      </c>
      <c r="Q207" s="1321">
        <v>17861764.419099998</v>
      </c>
      <c r="R207" s="1321">
        <v>23621765.869522244</v>
      </c>
      <c r="S207" s="1321">
        <v>22662765.974974167</v>
      </c>
      <c r="T207" s="1324">
        <v>21051441.867021091</v>
      </c>
    </row>
    <row r="208" spans="3:20">
      <c r="C208" s="71" t="s">
        <v>416</v>
      </c>
      <c r="G208" s="1320">
        <v>8866451.4286212437</v>
      </c>
      <c r="H208" s="1321">
        <v>9614700.1396694034</v>
      </c>
      <c r="I208" s="1321">
        <v>9426678.6375336032</v>
      </c>
      <c r="J208" s="1321">
        <v>9003810.8020890132</v>
      </c>
      <c r="K208" s="1321">
        <v>8112829.7394829756</v>
      </c>
      <c r="L208" s="1321">
        <v>7573129.4096180256</v>
      </c>
      <c r="M208" s="1321">
        <v>7677178.4634645535</v>
      </c>
      <c r="N208" s="1321">
        <v>9310896.8743587546</v>
      </c>
      <c r="O208" s="1321">
        <v>9372819.5844336208</v>
      </c>
      <c r="P208" s="1321">
        <v>7725527.5071899602</v>
      </c>
      <c r="Q208" s="1321">
        <v>9356162.3147666659</v>
      </c>
      <c r="R208" s="1321">
        <v>12373305.931654509</v>
      </c>
      <c r="S208" s="1321">
        <v>11870972.653557898</v>
      </c>
      <c r="T208" s="1324">
        <v>11026945.73986819</v>
      </c>
    </row>
    <row r="209" spans="3:20">
      <c r="C209" s="363" t="s">
        <v>438</v>
      </c>
      <c r="G209" s="1320">
        <v>2039283.8285828861</v>
      </c>
      <c r="H209" s="1321">
        <v>2211381.0321239629</v>
      </c>
      <c r="I209" s="1321">
        <v>2168136.0866327286</v>
      </c>
      <c r="J209" s="1321">
        <v>2070876.4844804727</v>
      </c>
      <c r="K209" s="1321">
        <v>1865950.8400810843</v>
      </c>
      <c r="L209" s="1321">
        <v>1741819.7642121459</v>
      </c>
      <c r="M209" s="1321">
        <v>1765751.0465968472</v>
      </c>
      <c r="N209" s="1321">
        <v>2141506.2811025139</v>
      </c>
      <c r="O209" s="1321">
        <v>2155748.5044197328</v>
      </c>
      <c r="P209" s="1321">
        <v>1776871.326653691</v>
      </c>
      <c r="Q209" s="1321">
        <v>2151917.3323963331</v>
      </c>
      <c r="R209" s="1321">
        <v>2845860.3642805368</v>
      </c>
      <c r="S209" s="1321">
        <v>2730323.7103183162</v>
      </c>
      <c r="T209" s="1324">
        <v>2536197.5201696837</v>
      </c>
    </row>
    <row r="210" spans="3:20">
      <c r="C210" s="363" t="s">
        <v>439</v>
      </c>
      <c r="G210" s="1320">
        <v>4699219.2571692597</v>
      </c>
      <c r="H210" s="1321">
        <v>5095791.0740247844</v>
      </c>
      <c r="I210" s="1321">
        <v>4996139.6778928097</v>
      </c>
      <c r="J210" s="1321">
        <v>4772019.7251071772</v>
      </c>
      <c r="K210" s="1321">
        <v>4299799.7619259777</v>
      </c>
      <c r="L210" s="1321">
        <v>4013758.587097554</v>
      </c>
      <c r="M210" s="1321">
        <v>4068904.5856362139</v>
      </c>
      <c r="N210" s="1321">
        <v>4934775.3434101408</v>
      </c>
      <c r="O210" s="1321">
        <v>4967594.3797498196</v>
      </c>
      <c r="P210" s="1321">
        <v>4094529.5788106793</v>
      </c>
      <c r="Q210" s="1321">
        <v>4958766.0268263333</v>
      </c>
      <c r="R210" s="1321">
        <v>6557852.1437768899</v>
      </c>
      <c r="S210" s="1321">
        <v>6291615.5063856859</v>
      </c>
      <c r="T210" s="1324">
        <v>5844281.2421301417</v>
      </c>
    </row>
    <row r="211" spans="3:20">
      <c r="C211" s="363" t="s">
        <v>440</v>
      </c>
      <c r="G211" s="1320">
        <v>975309.65714833688</v>
      </c>
      <c r="H211" s="1321">
        <v>1057617.0153636343</v>
      </c>
      <c r="I211" s="1321">
        <v>1036934.6501286963</v>
      </c>
      <c r="J211" s="1321">
        <v>990419.18822979135</v>
      </c>
      <c r="K211" s="1321">
        <v>892411.27134312724</v>
      </c>
      <c r="L211" s="1321">
        <v>833044.23505798285</v>
      </c>
      <c r="M211" s="1321">
        <v>844489.63098110084</v>
      </c>
      <c r="N211" s="1321">
        <v>1024198.656179463</v>
      </c>
      <c r="O211" s="1321">
        <v>1031010.1542876983</v>
      </c>
      <c r="P211" s="1321">
        <v>849808.02579089568</v>
      </c>
      <c r="Q211" s="1321">
        <v>1029177.8546243332</v>
      </c>
      <c r="R211" s="1321">
        <v>1361063.652481996</v>
      </c>
      <c r="S211" s="1321">
        <v>1305806.9918913688</v>
      </c>
      <c r="T211" s="1324">
        <v>1212964.0313855009</v>
      </c>
    </row>
    <row r="212" spans="3:20">
      <c r="C212" s="363" t="s">
        <v>441</v>
      </c>
      <c r="G212" s="1320">
        <v>620651.6000034872</v>
      </c>
      <c r="H212" s="1321">
        <v>673029.00977685838</v>
      </c>
      <c r="I212" s="1321">
        <v>659867.50462735235</v>
      </c>
      <c r="J212" s="1321">
        <v>630266.75614623097</v>
      </c>
      <c r="K212" s="1321">
        <v>567898.08176380838</v>
      </c>
      <c r="L212" s="1321">
        <v>530119.0586732619</v>
      </c>
      <c r="M212" s="1321">
        <v>537402.49244251882</v>
      </c>
      <c r="N212" s="1321">
        <v>651762.78120511293</v>
      </c>
      <c r="O212" s="1321">
        <v>656097.37091035361</v>
      </c>
      <c r="P212" s="1321">
        <v>540786.92550329736</v>
      </c>
      <c r="Q212" s="1321">
        <v>654931.36203366669</v>
      </c>
      <c r="R212" s="1321">
        <v>866131.41521581577</v>
      </c>
      <c r="S212" s="1321">
        <v>830968.08574905293</v>
      </c>
      <c r="T212" s="1324">
        <v>771886.20179077343</v>
      </c>
    </row>
    <row r="213" spans="3:20">
      <c r="C213" s="363" t="s">
        <v>442</v>
      </c>
      <c r="G213" s="1320">
        <v>443322.57143106224</v>
      </c>
      <c r="H213" s="1321">
        <v>480735.00698347023</v>
      </c>
      <c r="I213" s="1321">
        <v>471333.93187668017</v>
      </c>
      <c r="J213" s="1321">
        <v>450190.54010445066</v>
      </c>
      <c r="K213" s="1321">
        <v>405641.48697414878</v>
      </c>
      <c r="L213" s="1321">
        <v>378656.47048090131</v>
      </c>
      <c r="M213" s="1321">
        <v>383858.9231732277</v>
      </c>
      <c r="N213" s="1321">
        <v>465544.84371793782</v>
      </c>
      <c r="O213" s="1321">
        <v>468640.97922168113</v>
      </c>
      <c r="P213" s="1321">
        <v>386276.37535949808</v>
      </c>
      <c r="Q213" s="1321">
        <v>467808.11573833332</v>
      </c>
      <c r="R213" s="1321">
        <v>618665.29658272548</v>
      </c>
      <c r="S213" s="1321">
        <v>593548.6326778949</v>
      </c>
      <c r="T213" s="1324">
        <v>551347.28699340962</v>
      </c>
    </row>
    <row r="214" spans="3:20">
      <c r="C214" s="388" t="s">
        <v>325</v>
      </c>
      <c r="D214" s="467"/>
      <c r="E214" s="467"/>
      <c r="F214" s="467"/>
      <c r="G214" s="522"/>
      <c r="H214" s="468"/>
      <c r="I214" s="468"/>
      <c r="J214" s="468"/>
      <c r="K214" s="468"/>
      <c r="L214" s="468"/>
      <c r="M214" s="468"/>
      <c r="N214" s="468"/>
      <c r="O214" s="468"/>
      <c r="P214" s="468"/>
      <c r="Q214" s="468"/>
      <c r="R214" s="468"/>
      <c r="S214" s="1098"/>
      <c r="T214" s="467"/>
    </row>
    <row r="215" spans="3:20">
      <c r="C215" s="437" t="s">
        <v>343</v>
      </c>
      <c r="F215" s="96" t="s">
        <v>503</v>
      </c>
      <c r="G215" s="1359">
        <v>120562668.38846363</v>
      </c>
      <c r="H215" s="1360">
        <v>135673682.09690931</v>
      </c>
      <c r="I215" s="1360">
        <v>136694283.6278387</v>
      </c>
      <c r="J215" s="1360">
        <v>122291471.80973436</v>
      </c>
      <c r="K215" s="1360">
        <v>106715017.52753429</v>
      </c>
      <c r="L215" s="1360">
        <v>96817421.409659445</v>
      </c>
      <c r="M215" s="1360">
        <v>106208133.1047865</v>
      </c>
      <c r="N215" s="1360">
        <v>118612766.75267123</v>
      </c>
      <c r="O215" s="1360">
        <v>115949877.90776323</v>
      </c>
      <c r="P215" s="1360">
        <v>87209440.873825863</v>
      </c>
      <c r="Q215" s="1360">
        <v>114274713.98102029</v>
      </c>
      <c r="R215" s="1360">
        <v>147695940.25374511</v>
      </c>
      <c r="S215" s="1360">
        <v>142790267.77348921</v>
      </c>
      <c r="T215" s="1473">
        <v>140701469.22059017</v>
      </c>
    </row>
    <row r="216" spans="3:20">
      <c r="C216" s="71" t="s">
        <v>436</v>
      </c>
      <c r="G216" s="1320">
        <v>81982614.504155278</v>
      </c>
      <c r="H216" s="1321">
        <v>92258103.825898334</v>
      </c>
      <c r="I216" s="1321">
        <v>92952112.866930321</v>
      </c>
      <c r="J216" s="1321">
        <v>83158200.830619365</v>
      </c>
      <c r="K216" s="1321">
        <v>72566211.91872333</v>
      </c>
      <c r="L216" s="1321">
        <v>65835846.558568425</v>
      </c>
      <c r="M216" s="1321">
        <v>72221530.511254832</v>
      </c>
      <c r="N216" s="1321">
        <v>80656681.391816437</v>
      </c>
      <c r="O216" s="1321">
        <v>78845916.977279007</v>
      </c>
      <c r="P216" s="1321">
        <v>59302419.79420159</v>
      </c>
      <c r="Q216" s="1321">
        <v>77706805.507093802</v>
      </c>
      <c r="R216" s="1321">
        <v>100433239.37254669</v>
      </c>
      <c r="S216" s="1321">
        <v>97097382.085972667</v>
      </c>
      <c r="T216" s="1324">
        <v>95676999.070001319</v>
      </c>
    </row>
    <row r="217" spans="3:20">
      <c r="C217" s="71" t="s">
        <v>437</v>
      </c>
      <c r="G217" s="1320">
        <v>25318160.361577362</v>
      </c>
      <c r="H217" s="1321">
        <v>28491473.240350954</v>
      </c>
      <c r="I217" s="1321">
        <v>28705799.561846126</v>
      </c>
      <c r="J217" s="1321">
        <v>25681209.080044214</v>
      </c>
      <c r="K217" s="1321">
        <v>22410153.680782199</v>
      </c>
      <c r="L217" s="1321">
        <v>20331658.496028483</v>
      </c>
      <c r="M217" s="1321">
        <v>22303707.952005163</v>
      </c>
      <c r="N217" s="1321">
        <v>24908681.018060956</v>
      </c>
      <c r="O217" s="1321">
        <v>24349474.360630278</v>
      </c>
      <c r="P217" s="1321">
        <v>18313982.583503429</v>
      </c>
      <c r="Q217" s="1321">
        <v>23997689.936014261</v>
      </c>
      <c r="R217" s="1321">
        <v>31016147.453286473</v>
      </c>
      <c r="S217" s="1321">
        <v>29985956.232432734</v>
      </c>
      <c r="T217" s="1324">
        <v>29547308.536323935</v>
      </c>
    </row>
    <row r="218" spans="3:20">
      <c r="C218" s="71" t="s">
        <v>416</v>
      </c>
      <c r="G218" s="1320">
        <v>13261893.522730999</v>
      </c>
      <c r="H218" s="1321">
        <v>14924105.030660024</v>
      </c>
      <c r="I218" s="1321">
        <v>15036371.199062258</v>
      </c>
      <c r="J218" s="1321">
        <v>13452061.899070779</v>
      </c>
      <c r="K218" s="1321">
        <v>11738651.928028772</v>
      </c>
      <c r="L218" s="1321">
        <v>10649916.355062539</v>
      </c>
      <c r="M218" s="1321">
        <v>11682894.641526515</v>
      </c>
      <c r="N218" s="1321">
        <v>13047404.342793835</v>
      </c>
      <c r="O218" s="1321">
        <v>12754486.569853956</v>
      </c>
      <c r="P218" s="1321">
        <v>9593038.4961208459</v>
      </c>
      <c r="Q218" s="1321">
        <v>12570218.537912231</v>
      </c>
      <c r="R218" s="1321">
        <v>16246553.427911961</v>
      </c>
      <c r="S218" s="1321">
        <v>15706929.455083814</v>
      </c>
      <c r="T218" s="1324">
        <v>15477161.614264918</v>
      </c>
    </row>
    <row r="219" spans="3:20">
      <c r="C219" s="363" t="s">
        <v>438</v>
      </c>
      <c r="G219" s="1320">
        <v>3050235.51022813</v>
      </c>
      <c r="H219" s="1321">
        <v>3432544.1570518054</v>
      </c>
      <c r="I219" s="1321">
        <v>3458365.3757843189</v>
      </c>
      <c r="J219" s="1321">
        <v>3093974.2367862794</v>
      </c>
      <c r="K219" s="1321">
        <v>2699889.9434466176</v>
      </c>
      <c r="L219" s="1321">
        <v>2449480.761664384</v>
      </c>
      <c r="M219" s="1321">
        <v>2687065.7675510985</v>
      </c>
      <c r="N219" s="1321">
        <v>3000902.9988425821</v>
      </c>
      <c r="O219" s="1321">
        <v>2933531.9110664097</v>
      </c>
      <c r="P219" s="1321">
        <v>2206398.8541077944</v>
      </c>
      <c r="Q219" s="1321">
        <v>2891150.2637198134</v>
      </c>
      <c r="R219" s="1321">
        <v>3736707.288419751</v>
      </c>
      <c r="S219" s="1321">
        <v>3612593.774669277</v>
      </c>
      <c r="T219" s="1324">
        <v>3559747.1712809312</v>
      </c>
    </row>
    <row r="220" spans="3:20">
      <c r="C220" s="363" t="s">
        <v>439</v>
      </c>
      <c r="G220" s="1320">
        <v>7028803.5670474302</v>
      </c>
      <c r="H220" s="1321">
        <v>7909775.6662498135</v>
      </c>
      <c r="I220" s="1321">
        <v>7969276.7355029965</v>
      </c>
      <c r="J220" s="1321">
        <v>7129592.8065075139</v>
      </c>
      <c r="K220" s="1321">
        <v>6221485.52185525</v>
      </c>
      <c r="L220" s="1321">
        <v>5644455.668183146</v>
      </c>
      <c r="M220" s="1321">
        <v>6191934.1600090535</v>
      </c>
      <c r="N220" s="1321">
        <v>6915124.3016807334</v>
      </c>
      <c r="O220" s="1321">
        <v>6759877.8820225969</v>
      </c>
      <c r="P220" s="1321">
        <v>5084310.4029440479</v>
      </c>
      <c r="Q220" s="1321">
        <v>6662215.8250934836</v>
      </c>
      <c r="R220" s="1321">
        <v>8610673.3167933412</v>
      </c>
      <c r="S220" s="1321">
        <v>8324672.6111944215</v>
      </c>
      <c r="T220" s="1324">
        <v>8202895.6555604078</v>
      </c>
    </row>
    <row r="221" spans="3:20">
      <c r="C221" s="363" t="s">
        <v>440</v>
      </c>
      <c r="G221" s="1320">
        <v>1458808.2875004099</v>
      </c>
      <c r="H221" s="1321">
        <v>1641651.5533726027</v>
      </c>
      <c r="I221" s="1321">
        <v>1654000.8318968483</v>
      </c>
      <c r="J221" s="1321">
        <v>1479726.8088977856</v>
      </c>
      <c r="K221" s="1321">
        <v>1291251.7120831648</v>
      </c>
      <c r="L221" s="1321">
        <v>1171490.7990568792</v>
      </c>
      <c r="M221" s="1321">
        <v>1285118.4105679167</v>
      </c>
      <c r="N221" s="1321">
        <v>1435214.4777073218</v>
      </c>
      <c r="O221" s="1321">
        <v>1402993.522683935</v>
      </c>
      <c r="P221" s="1321">
        <v>1055234.234573293</v>
      </c>
      <c r="Q221" s="1321">
        <v>1382724.0391703455</v>
      </c>
      <c r="R221" s="1321">
        <v>1787120.8770703159</v>
      </c>
      <c r="S221" s="1321">
        <v>1727762.2400592193</v>
      </c>
      <c r="T221" s="1324">
        <v>1702487.777569141</v>
      </c>
    </row>
    <row r="222" spans="3:20">
      <c r="C222" s="363" t="s">
        <v>441</v>
      </c>
      <c r="G222" s="1320">
        <v>928332.54659117013</v>
      </c>
      <c r="H222" s="1321">
        <v>1044687.3521462019</v>
      </c>
      <c r="I222" s="1321">
        <v>1052545.9839343582</v>
      </c>
      <c r="J222" s="1321">
        <v>941644.33293495467</v>
      </c>
      <c r="K222" s="1321">
        <v>821705.63496201416</v>
      </c>
      <c r="L222" s="1321">
        <v>745494.14485437784</v>
      </c>
      <c r="M222" s="1321">
        <v>817802.62490685622</v>
      </c>
      <c r="N222" s="1321">
        <v>913318.30399556854</v>
      </c>
      <c r="O222" s="1321">
        <v>892814.05988977698</v>
      </c>
      <c r="P222" s="1321">
        <v>671512.69472845923</v>
      </c>
      <c r="Q222" s="1321">
        <v>879915.29765385634</v>
      </c>
      <c r="R222" s="1321">
        <v>1137258.7399538376</v>
      </c>
      <c r="S222" s="1321">
        <v>1099485.061855867</v>
      </c>
      <c r="T222" s="1324">
        <v>1083401.3129985444</v>
      </c>
    </row>
    <row r="223" spans="3:20">
      <c r="C223" s="363" t="s">
        <v>442</v>
      </c>
      <c r="G223" s="1320">
        <v>663094.67613655003</v>
      </c>
      <c r="H223" s="1321">
        <v>746205.25153300131</v>
      </c>
      <c r="I223" s="1321">
        <v>751818.55995311297</v>
      </c>
      <c r="J223" s="1321">
        <v>672603.09495353908</v>
      </c>
      <c r="K223" s="1321">
        <v>586932.5964014387</v>
      </c>
      <c r="L223" s="1321">
        <v>532495.81775312696</v>
      </c>
      <c r="M223" s="1321">
        <v>584144.7320763258</v>
      </c>
      <c r="N223" s="1321">
        <v>652370.21713969181</v>
      </c>
      <c r="O223" s="1321">
        <v>637724.32849269779</v>
      </c>
      <c r="P223" s="1321">
        <v>479651.92480604228</v>
      </c>
      <c r="Q223" s="1321">
        <v>628510.92689561169</v>
      </c>
      <c r="R223" s="1321">
        <v>812327.67139559821</v>
      </c>
      <c r="S223" s="1321">
        <v>785346.47275419068</v>
      </c>
      <c r="T223" s="1324">
        <v>773858.08071324602</v>
      </c>
    </row>
    <row r="224" spans="3:20">
      <c r="C224" s="388" t="s">
        <v>326</v>
      </c>
      <c r="D224" s="467"/>
      <c r="E224" s="467"/>
      <c r="F224" s="467"/>
      <c r="G224" s="522"/>
      <c r="H224" s="468"/>
      <c r="I224" s="468"/>
      <c r="J224" s="468"/>
      <c r="K224" s="468"/>
      <c r="L224" s="468"/>
      <c r="M224" s="468"/>
      <c r="N224" s="468"/>
      <c r="O224" s="468"/>
      <c r="P224" s="468"/>
      <c r="Q224" s="468"/>
      <c r="R224" s="468"/>
      <c r="S224" s="1098"/>
      <c r="T224" s="467"/>
    </row>
    <row r="225" spans="3:20">
      <c r="C225" s="437" t="s">
        <v>343</v>
      </c>
      <c r="F225" s="96" t="s">
        <v>503</v>
      </c>
      <c r="G225" s="1359">
        <v>5935638.3399999999</v>
      </c>
      <c r="H225" s="1360">
        <v>6130403.3700000001</v>
      </c>
      <c r="I225" s="1360">
        <v>6176835.080000001</v>
      </c>
      <c r="J225" s="1360">
        <v>5888602.1699999999</v>
      </c>
      <c r="K225" s="1360">
        <v>5222617.07</v>
      </c>
      <c r="L225" s="1360">
        <v>6690915.6100000003</v>
      </c>
      <c r="M225" s="1360">
        <v>6616442.6299999999</v>
      </c>
      <c r="N225" s="1360">
        <v>9368256.0299999993</v>
      </c>
      <c r="O225" s="1360">
        <v>9706294.9800000004</v>
      </c>
      <c r="P225" s="1360">
        <v>7535683.6100000003</v>
      </c>
      <c r="Q225" s="1360">
        <v>8231494.5599999987</v>
      </c>
      <c r="R225" s="1360">
        <v>11259409.299999999</v>
      </c>
      <c r="S225" s="1360">
        <v>11521201.75</v>
      </c>
      <c r="T225" s="1473">
        <v>11723175.119999999</v>
      </c>
    </row>
    <row r="226" spans="3:20">
      <c r="C226" s="71" t="s">
        <v>436</v>
      </c>
      <c r="G226" s="1320">
        <v>4036234.0712000001</v>
      </c>
      <c r="H226" s="1321">
        <v>4168674.2916000006</v>
      </c>
      <c r="I226" s="1321">
        <v>4200247.8544000005</v>
      </c>
      <c r="J226" s="1321">
        <v>4004249.4756</v>
      </c>
      <c r="K226" s="1321">
        <v>3551379.6076000007</v>
      </c>
      <c r="L226" s="1321">
        <v>4549822.6148000006</v>
      </c>
      <c r="M226" s="1321">
        <v>4499180.9884000001</v>
      </c>
      <c r="N226" s="1321">
        <v>6370414.1003999999</v>
      </c>
      <c r="O226" s="1321">
        <v>6600280.5864000004</v>
      </c>
      <c r="P226" s="1321">
        <v>5124264.8548000008</v>
      </c>
      <c r="Q226" s="1321">
        <v>5597416.3007999994</v>
      </c>
      <c r="R226" s="1321">
        <v>7656398.324</v>
      </c>
      <c r="S226" s="1321">
        <v>7834417.1900000004</v>
      </c>
      <c r="T226" s="1324">
        <v>7971759.0816000002</v>
      </c>
    </row>
    <row r="227" spans="3:20">
      <c r="C227" s="71" t="s">
        <v>437</v>
      </c>
      <c r="G227" s="1320">
        <v>1246484.0514</v>
      </c>
      <c r="H227" s="1321">
        <v>1287384.7076999999</v>
      </c>
      <c r="I227" s="1321">
        <v>1297135.3668000002</v>
      </c>
      <c r="J227" s="1321">
        <v>1236606.4557</v>
      </c>
      <c r="K227" s="1321">
        <v>1096749.5847</v>
      </c>
      <c r="L227" s="1321">
        <v>1405092.2781</v>
      </c>
      <c r="M227" s="1321">
        <v>1389452.9523</v>
      </c>
      <c r="N227" s="1321">
        <v>1967333.7662999998</v>
      </c>
      <c r="O227" s="1321">
        <v>2038321.9458000001</v>
      </c>
      <c r="P227" s="1321">
        <v>1582493.5581</v>
      </c>
      <c r="Q227" s="1321">
        <v>1728613.8575999998</v>
      </c>
      <c r="R227" s="1321">
        <v>2364475.9529999997</v>
      </c>
      <c r="S227" s="1321">
        <v>2419452.3674999997</v>
      </c>
      <c r="T227" s="1324">
        <v>2461866.7751999996</v>
      </c>
    </row>
    <row r="228" spans="3:20">
      <c r="C228" s="71" t="s">
        <v>416</v>
      </c>
      <c r="G228" s="1320">
        <v>652920.21739999996</v>
      </c>
      <c r="H228" s="1321">
        <v>674344.37069999997</v>
      </c>
      <c r="I228" s="1321">
        <v>679451.85880000016</v>
      </c>
      <c r="J228" s="1321">
        <v>647746.23869999999</v>
      </c>
      <c r="K228" s="1321">
        <v>574487.87770000007</v>
      </c>
      <c r="L228" s="1321">
        <v>736000.71710000001</v>
      </c>
      <c r="M228" s="1321">
        <v>727808.68929999997</v>
      </c>
      <c r="N228" s="1321">
        <v>1030508.1632999999</v>
      </c>
      <c r="O228" s="1321">
        <v>1067692.4478</v>
      </c>
      <c r="P228" s="1321">
        <v>828925.19709999999</v>
      </c>
      <c r="Q228" s="1321">
        <v>905464.40159999987</v>
      </c>
      <c r="R228" s="1321">
        <v>1238535.0229999998</v>
      </c>
      <c r="S228" s="1321">
        <v>1267332.1925000001</v>
      </c>
      <c r="T228" s="1324">
        <v>1289549.2631999999</v>
      </c>
    </row>
    <row r="229" spans="3:20">
      <c r="C229" s="363" t="s">
        <v>438</v>
      </c>
      <c r="G229" s="1320">
        <v>150171.65000199998</v>
      </c>
      <c r="H229" s="1321">
        <v>155099.205261</v>
      </c>
      <c r="I229" s="1321">
        <v>156273.92752400003</v>
      </c>
      <c r="J229" s="1321">
        <v>148981.63490099998</v>
      </c>
      <c r="K229" s="1321">
        <v>132132.21187100001</v>
      </c>
      <c r="L229" s="1321">
        <v>169280.16493299999</v>
      </c>
      <c r="M229" s="1321">
        <v>167395.99853899999</v>
      </c>
      <c r="N229" s="1321">
        <v>237016.87755899999</v>
      </c>
      <c r="O229" s="1321">
        <v>245569.26299400002</v>
      </c>
      <c r="P229" s="1321">
        <v>190652.79533300002</v>
      </c>
      <c r="Q229" s="1321">
        <v>208256.81236799996</v>
      </c>
      <c r="R229" s="1321">
        <v>284863.05528999999</v>
      </c>
      <c r="S229" s="1321">
        <v>291486.40427499998</v>
      </c>
      <c r="T229" s="1324">
        <v>296596.33053599996</v>
      </c>
    </row>
    <row r="230" spans="3:20">
      <c r="C230" s="363" t="s">
        <v>439</v>
      </c>
      <c r="G230" s="1320">
        <v>346047.71522200003</v>
      </c>
      <c r="H230" s="1321">
        <v>357402.51647100004</v>
      </c>
      <c r="I230" s="1321">
        <v>360109.48516400007</v>
      </c>
      <c r="J230" s="1321">
        <v>343305.50651100004</v>
      </c>
      <c r="K230" s="1321">
        <v>304478.57518100005</v>
      </c>
      <c r="L230" s="1321">
        <v>390080.38006300008</v>
      </c>
      <c r="M230" s="1321">
        <v>385738.60532900004</v>
      </c>
      <c r="N230" s="1321">
        <v>546169.32654899999</v>
      </c>
      <c r="O230" s="1321">
        <v>565876.99733400007</v>
      </c>
      <c r="P230" s="1321">
        <v>439330.35446300003</v>
      </c>
      <c r="Q230" s="1321">
        <v>479896.13284799998</v>
      </c>
      <c r="R230" s="1321">
        <v>656423.56218999997</v>
      </c>
      <c r="S230" s="1321">
        <v>671686.06202500011</v>
      </c>
      <c r="T230" s="1324">
        <v>683461.10949599999</v>
      </c>
    </row>
    <row r="231" spans="3:20">
      <c r="C231" s="363" t="s">
        <v>440</v>
      </c>
      <c r="G231" s="1320">
        <v>71821.223914000002</v>
      </c>
      <c r="H231" s="1321">
        <v>74177.880776999998</v>
      </c>
      <c r="I231" s="1321">
        <v>74739.704468000011</v>
      </c>
      <c r="J231" s="1321">
        <v>71252.086257000003</v>
      </c>
      <c r="K231" s="1321">
        <v>63193.666547000001</v>
      </c>
      <c r="L231" s="1321">
        <v>80960.078881000009</v>
      </c>
      <c r="M231" s="1321">
        <v>80058.955822999997</v>
      </c>
      <c r="N231" s="1321">
        <v>113355.897963</v>
      </c>
      <c r="O231" s="1321">
        <v>117446.16925800001</v>
      </c>
      <c r="P231" s="1321">
        <v>91181.771680999998</v>
      </c>
      <c r="Q231" s="1321">
        <v>99601.084175999975</v>
      </c>
      <c r="R231" s="1321">
        <v>136238.85252999997</v>
      </c>
      <c r="S231" s="1321">
        <v>139406.54117499999</v>
      </c>
      <c r="T231" s="1324">
        <v>141850.41895199998</v>
      </c>
    </row>
    <row r="232" spans="3:20">
      <c r="C232" s="363" t="s">
        <v>441</v>
      </c>
      <c r="G232" s="1320">
        <v>45704.415218000002</v>
      </c>
      <c r="H232" s="1321">
        <v>47204.105949000004</v>
      </c>
      <c r="I232" s="1321">
        <v>47561.630116000015</v>
      </c>
      <c r="J232" s="1321">
        <v>45342.236709000004</v>
      </c>
      <c r="K232" s="1321">
        <v>40214.151439000008</v>
      </c>
      <c r="L232" s="1321">
        <v>51520.050197000011</v>
      </c>
      <c r="M232" s="1321">
        <v>50946.608251000005</v>
      </c>
      <c r="N232" s="1321">
        <v>72135.571431000004</v>
      </c>
      <c r="O232" s="1321">
        <v>74738.47134600002</v>
      </c>
      <c r="P232" s="1321">
        <v>58024.763797000014</v>
      </c>
      <c r="Q232" s="1321">
        <v>63382.508111999996</v>
      </c>
      <c r="R232" s="1321">
        <v>86697.451610000004</v>
      </c>
      <c r="S232" s="1321">
        <v>88713.25347500002</v>
      </c>
      <c r="T232" s="1324">
        <v>90268.448424000002</v>
      </c>
    </row>
    <row r="233" spans="3:20">
      <c r="C233" s="438" t="s">
        <v>442</v>
      </c>
      <c r="G233" s="1320">
        <v>32646.010870000002</v>
      </c>
      <c r="H233" s="1321">
        <v>33717.218535000007</v>
      </c>
      <c r="I233" s="1321">
        <v>33972.59294000001</v>
      </c>
      <c r="J233" s="1321">
        <v>32387.311935000002</v>
      </c>
      <c r="K233" s="1321">
        <v>28724.393885000005</v>
      </c>
      <c r="L233" s="1321">
        <v>36800.035855000002</v>
      </c>
      <c r="M233" s="1321">
        <v>36390.434465000006</v>
      </c>
      <c r="N233" s="1321">
        <v>51525.408165000001</v>
      </c>
      <c r="O233" s="1321">
        <v>53384.622390000011</v>
      </c>
      <c r="P233" s="1321">
        <v>41446.259855000004</v>
      </c>
      <c r="Q233" s="1321">
        <v>45273.220079999999</v>
      </c>
      <c r="R233" s="1321">
        <v>61926.751149999996</v>
      </c>
      <c r="S233" s="1321">
        <v>63366.609625000005</v>
      </c>
      <c r="T233" s="1324">
        <v>64477.463159999999</v>
      </c>
    </row>
    <row r="234" spans="3:20">
      <c r="C234" s="585" t="s">
        <v>241</v>
      </c>
      <c r="D234" s="467"/>
      <c r="E234" s="467"/>
      <c r="F234" s="467"/>
      <c r="G234" s="522">
        <v>603616680.43349504</v>
      </c>
      <c r="H234" s="468">
        <v>680012244.95626426</v>
      </c>
      <c r="I234" s="468">
        <v>669536227.42020941</v>
      </c>
      <c r="J234" s="468">
        <v>637270744.10764241</v>
      </c>
      <c r="K234" s="468">
        <v>559496882.56512475</v>
      </c>
      <c r="L234" s="468">
        <v>520568759.72307551</v>
      </c>
      <c r="M234" s="468">
        <v>570365678.65218472</v>
      </c>
      <c r="N234" s="468">
        <v>652918424.9038136</v>
      </c>
      <c r="O234" s="468">
        <v>649883243.67373967</v>
      </c>
      <c r="P234" s="468">
        <v>518390621.48287261</v>
      </c>
      <c r="Q234" s="468">
        <v>630750705.63018632</v>
      </c>
      <c r="R234" s="468">
        <v>813417746.38822508</v>
      </c>
      <c r="S234" s="468">
        <v>792849321.86289334</v>
      </c>
      <c r="T234" s="467"/>
    </row>
    <row r="235" spans="3:20">
      <c r="C235" s="586" t="s">
        <v>343</v>
      </c>
      <c r="D235" s="70"/>
      <c r="E235" s="70"/>
      <c r="F235" s="475" t="s">
        <v>503</v>
      </c>
      <c r="G235" s="71"/>
      <c r="T235" s="31"/>
    </row>
    <row r="236" spans="3:20">
      <c r="C236" s="71" t="s">
        <v>508</v>
      </c>
      <c r="G236" s="509">
        <f>G226+G216+G196+G186+G206</f>
        <v>464093747.95088834</v>
      </c>
      <c r="H236" s="322">
        <f t="shared" ref="H236:T236" si="40">H226+H216+H196+H186+H206</f>
        <v>507880390.06902283</v>
      </c>
      <c r="I236" s="322">
        <f t="shared" si="40"/>
        <v>500972398.13921463</v>
      </c>
      <c r="J236" s="322">
        <f t="shared" si="40"/>
        <v>477474665.66349292</v>
      </c>
      <c r="K236" s="322">
        <f t="shared" si="40"/>
        <v>419242698.70917994</v>
      </c>
      <c r="L236" s="322">
        <f t="shared" si="40"/>
        <v>389861284.79731894</v>
      </c>
      <c r="M236" s="322">
        <f t="shared" si="40"/>
        <v>426167371.56870753</v>
      </c>
      <c r="N236" s="322">
        <f t="shared" si="40"/>
        <v>487432941.39055705</v>
      </c>
      <c r="O236" s="322">
        <f t="shared" si="40"/>
        <v>485706483.48065573</v>
      </c>
      <c r="P236" s="322">
        <f t="shared" si="40"/>
        <v>387407055.82936144</v>
      </c>
      <c r="Q236" s="322">
        <f t="shared" si="40"/>
        <v>470790233.24409109</v>
      </c>
      <c r="R236" s="322">
        <f t="shared" si="40"/>
        <v>607230118.41560686</v>
      </c>
      <c r="S236" s="322">
        <f t="shared" si="40"/>
        <v>592670845.41724944</v>
      </c>
      <c r="T236" s="425">
        <f t="shared" si="40"/>
        <v>572169836.07578588</v>
      </c>
    </row>
    <row r="237" spans="3:20">
      <c r="C237" s="71" t="s">
        <v>509</v>
      </c>
      <c r="G237" s="509">
        <f t="shared" ref="G237:T243" si="41">G227+G217+G197+G187+G207</f>
        <v>143323069.22012725</v>
      </c>
      <c r="H237" s="322">
        <f t="shared" si="41"/>
        <v>156845414.58013943</v>
      </c>
      <c r="I237" s="322">
        <f t="shared" si="41"/>
        <v>154712064.13122803</v>
      </c>
      <c r="J237" s="322">
        <f t="shared" si="41"/>
        <v>147455411.45490223</v>
      </c>
      <c r="K237" s="322">
        <f t="shared" si="41"/>
        <v>129472009.89548203</v>
      </c>
      <c r="L237" s="322">
        <f t="shared" si="41"/>
        <v>120398337.9521132</v>
      </c>
      <c r="M237" s="322">
        <f t="shared" si="41"/>
        <v>131610511.80798319</v>
      </c>
      <c r="N237" s="322">
        <f t="shared" si="41"/>
        <v>150530761.31178963</v>
      </c>
      <c r="O237" s="322">
        <f t="shared" si="41"/>
        <v>149997590.48667309</v>
      </c>
      <c r="P237" s="322">
        <f t="shared" si="41"/>
        <v>119640414.30024397</v>
      </c>
      <c r="Q237" s="322">
        <f t="shared" si="41"/>
        <v>145391101.44302812</v>
      </c>
      <c r="R237" s="322">
        <f t="shared" si="41"/>
        <v>187526948.3342315</v>
      </c>
      <c r="S237" s="322">
        <f t="shared" si="41"/>
        <v>183030702.26120937</v>
      </c>
      <c r="T237" s="425">
        <f t="shared" si="41"/>
        <v>176699508.199875</v>
      </c>
    </row>
    <row r="238" spans="3:20">
      <c r="C238" s="71" t="s">
        <v>416</v>
      </c>
      <c r="G238" s="509">
        <f t="shared" si="41"/>
        <v>75073988.639114276</v>
      </c>
      <c r="H238" s="322">
        <f t="shared" si="41"/>
        <v>82157121.922930166</v>
      </c>
      <c r="I238" s="322">
        <f t="shared" si="41"/>
        <v>81039652.640167058</v>
      </c>
      <c r="J238" s="322">
        <f t="shared" si="41"/>
        <v>77238548.857329726</v>
      </c>
      <c r="K238" s="322">
        <f t="shared" si="41"/>
        <v>67818671.850014389</v>
      </c>
      <c r="L238" s="322">
        <f t="shared" si="41"/>
        <v>63065796.07015454</v>
      </c>
      <c r="M238" s="322">
        <f t="shared" si="41"/>
        <v>68938839.518467396</v>
      </c>
      <c r="N238" s="322">
        <f t="shared" si="41"/>
        <v>78849446.401413634</v>
      </c>
      <c r="O238" s="322">
        <f t="shared" si="41"/>
        <v>78570166.445400178</v>
      </c>
      <c r="P238" s="322">
        <f t="shared" si="41"/>
        <v>62668788.442984939</v>
      </c>
      <c r="Q238" s="322">
        <f t="shared" si="41"/>
        <v>76157243.613014728</v>
      </c>
      <c r="R238" s="322">
        <f t="shared" si="41"/>
        <v>98228401.508406982</v>
      </c>
      <c r="S238" s="322">
        <f t="shared" si="41"/>
        <v>95873224.993966818</v>
      </c>
      <c r="T238" s="425">
        <f t="shared" si="41"/>
        <v>92556885.247553587</v>
      </c>
    </row>
    <row r="239" spans="3:20">
      <c r="C239" s="363" t="s">
        <v>510</v>
      </c>
      <c r="G239" s="509">
        <f t="shared" si="41"/>
        <v>17267017.386996284</v>
      </c>
      <c r="H239" s="322">
        <f t="shared" si="41"/>
        <v>18896138.042273939</v>
      </c>
      <c r="I239" s="322">
        <f t="shared" si="41"/>
        <v>18639120.107238427</v>
      </c>
      <c r="J239" s="322">
        <f t="shared" si="41"/>
        <v>17764866.23718584</v>
      </c>
      <c r="K239" s="322">
        <f t="shared" si="41"/>
        <v>15598294.525503311</v>
      </c>
      <c r="L239" s="322">
        <f t="shared" si="41"/>
        <v>14505133.096135544</v>
      </c>
      <c r="M239" s="322">
        <f t="shared" si="41"/>
        <v>15855933.089247499</v>
      </c>
      <c r="N239" s="322">
        <f t="shared" si="41"/>
        <v>18135372.672325134</v>
      </c>
      <c r="O239" s="322">
        <f t="shared" si="41"/>
        <v>18071138.282442041</v>
      </c>
      <c r="P239" s="322">
        <f t="shared" si="41"/>
        <v>14413821.341886535</v>
      </c>
      <c r="Q239" s="322">
        <f t="shared" si="41"/>
        <v>17516166.030993387</v>
      </c>
      <c r="R239" s="322">
        <f t="shared" si="41"/>
        <v>22592532.346933603</v>
      </c>
      <c r="S239" s="322">
        <f t="shared" si="41"/>
        <v>22050841.74861237</v>
      </c>
      <c r="T239" s="425">
        <f t="shared" si="41"/>
        <v>21288083.606937319</v>
      </c>
    </row>
    <row r="240" spans="3:20">
      <c r="C240" s="363" t="s">
        <v>511</v>
      </c>
      <c r="G240" s="509">
        <f t="shared" si="41"/>
        <v>39789213.978730574</v>
      </c>
      <c r="H240" s="322">
        <f t="shared" si="41"/>
        <v>43543274.619152986</v>
      </c>
      <c r="I240" s="322">
        <f t="shared" si="41"/>
        <v>42951015.89928855</v>
      </c>
      <c r="J240" s="322">
        <f t="shared" si="41"/>
        <v>40936430.894384772</v>
      </c>
      <c r="K240" s="322">
        <f t="shared" si="41"/>
        <v>35943896.080507636</v>
      </c>
      <c r="L240" s="322">
        <f t="shared" si="41"/>
        <v>33424871.917181909</v>
      </c>
      <c r="M240" s="322">
        <f t="shared" si="41"/>
        <v>36537584.944787718</v>
      </c>
      <c r="N240" s="322">
        <f t="shared" si="41"/>
        <v>41790206.592749231</v>
      </c>
      <c r="O240" s="322">
        <f t="shared" si="41"/>
        <v>41642188.216062099</v>
      </c>
      <c r="P240" s="322">
        <f t="shared" si="41"/>
        <v>33214457.874782018</v>
      </c>
      <c r="Q240" s="322">
        <f t="shared" si="41"/>
        <v>40363339.114897817</v>
      </c>
      <c r="R240" s="322">
        <f t="shared" si="41"/>
        <v>52061052.799455702</v>
      </c>
      <c r="S240" s="322">
        <f t="shared" si="41"/>
        <v>50812809.246802419</v>
      </c>
      <c r="T240" s="425">
        <f t="shared" si="41"/>
        <v>49055149.181203395</v>
      </c>
    </row>
    <row r="241" spans="3:20">
      <c r="C241" s="363" t="s">
        <v>512</v>
      </c>
      <c r="G241" s="509">
        <f>G231+G221+G201+G191+G211</f>
        <v>8258138.7503025718</v>
      </c>
      <c r="H241" s="322">
        <f t="shared" si="41"/>
        <v>9037283.4115223177</v>
      </c>
      <c r="I241" s="322">
        <f t="shared" si="41"/>
        <v>8914361.7904183771</v>
      </c>
      <c r="J241" s="322">
        <f t="shared" si="41"/>
        <v>8496240.3743062709</v>
      </c>
      <c r="K241" s="322">
        <f t="shared" si="41"/>
        <v>7460053.9035015833</v>
      </c>
      <c r="L241" s="322">
        <f t="shared" si="41"/>
        <v>6937237.567716998</v>
      </c>
      <c r="M241" s="322">
        <f t="shared" si="41"/>
        <v>7583272.3470314126</v>
      </c>
      <c r="N241" s="322">
        <f t="shared" si="41"/>
        <v>8673439.1041554995</v>
      </c>
      <c r="O241" s="322">
        <f t="shared" si="41"/>
        <v>8642718.3089940194</v>
      </c>
      <c r="P241" s="322">
        <f t="shared" si="41"/>
        <v>6893566.7287283428</v>
      </c>
      <c r="Q241" s="322">
        <f t="shared" si="41"/>
        <v>8377296.7974316198</v>
      </c>
      <c r="R241" s="322">
        <f t="shared" si="41"/>
        <v>10805124.165924767</v>
      </c>
      <c r="S241" s="322">
        <f>S231+S221+S201+S191+S211</f>
        <v>10546054.749336351</v>
      </c>
      <c r="T241" s="425">
        <f>T231+T221+T201+T191+T211</f>
        <v>10181257.377230894</v>
      </c>
    </row>
    <row r="242" spans="3:20">
      <c r="C242" s="363" t="s">
        <v>513</v>
      </c>
      <c r="G242" s="509">
        <f t="shared" si="41"/>
        <v>5255179.2047380013</v>
      </c>
      <c r="H242" s="322">
        <f t="shared" si="41"/>
        <v>5750998.5346051138</v>
      </c>
      <c r="I242" s="322">
        <f t="shared" si="41"/>
        <v>5672775.6848116964</v>
      </c>
      <c r="J242" s="322">
        <f t="shared" si="41"/>
        <v>5406698.4200130822</v>
      </c>
      <c r="K242" s="322">
        <f t="shared" si="41"/>
        <v>4747307.0295010088</v>
      </c>
      <c r="L242" s="322">
        <f t="shared" si="41"/>
        <v>4414605.724910818</v>
      </c>
      <c r="M242" s="322">
        <f t="shared" si="41"/>
        <v>4825718.7662927173</v>
      </c>
      <c r="N242" s="322">
        <f t="shared" si="41"/>
        <v>5519461.2480989546</v>
      </c>
      <c r="O242" s="322">
        <f t="shared" si="41"/>
        <v>5499911.6511780145</v>
      </c>
      <c r="P242" s="322">
        <f t="shared" si="41"/>
        <v>4386815.1910089469</v>
      </c>
      <c r="Q242" s="322">
        <f t="shared" si="41"/>
        <v>5331007.052911032</v>
      </c>
      <c r="R242" s="322">
        <f t="shared" si="41"/>
        <v>6875988.1055884892</v>
      </c>
      <c r="S242" s="322">
        <f t="shared" si="41"/>
        <v>6711125.7495776787</v>
      </c>
      <c r="T242" s="425">
        <f t="shared" si="41"/>
        <v>6478981.9673287505</v>
      </c>
    </row>
    <row r="243" spans="3:20">
      <c r="C243" s="364" t="s">
        <v>514</v>
      </c>
      <c r="D243" s="92"/>
      <c r="E243" s="92"/>
      <c r="F243" s="92"/>
      <c r="G243" s="428">
        <f t="shared" si="41"/>
        <v>3753699.4319557147</v>
      </c>
      <c r="H243" s="429">
        <f t="shared" si="41"/>
        <v>4107856.0961465091</v>
      </c>
      <c r="I243" s="429">
        <f t="shared" si="41"/>
        <v>4051982.6320083537</v>
      </c>
      <c r="J243" s="429">
        <f t="shared" si="41"/>
        <v>3861927.4428664874</v>
      </c>
      <c r="K243" s="429">
        <f t="shared" si="41"/>
        <v>3390933.5925007202</v>
      </c>
      <c r="L243" s="429">
        <f t="shared" si="41"/>
        <v>3153289.8035077266</v>
      </c>
      <c r="M243" s="429">
        <f t="shared" si="41"/>
        <v>3446941.9759233696</v>
      </c>
      <c r="N243" s="429">
        <f t="shared" si="41"/>
        <v>3942472.3200706826</v>
      </c>
      <c r="O243" s="429">
        <f t="shared" si="41"/>
        <v>3928508.3222700097</v>
      </c>
      <c r="P243" s="429">
        <f t="shared" si="41"/>
        <v>3133439.4221492475</v>
      </c>
      <c r="Q243" s="429">
        <f t="shared" si="41"/>
        <v>3807862.1806507371</v>
      </c>
      <c r="R243" s="429">
        <f t="shared" si="41"/>
        <v>4911420.0754203498</v>
      </c>
      <c r="S243" s="429">
        <f t="shared" si="41"/>
        <v>4793661.2496983418</v>
      </c>
      <c r="T243" s="430">
        <f t="shared" si="41"/>
        <v>4627844.2623776793</v>
      </c>
    </row>
    <row r="246" spans="3:20">
      <c r="C246" s="15" t="s">
        <v>515</v>
      </c>
    </row>
    <row r="248" spans="3:20">
      <c r="C248" s="387" t="s">
        <v>336</v>
      </c>
      <c r="D248" s="326"/>
      <c r="E248" s="70"/>
      <c r="F248" s="70"/>
      <c r="G248" s="344">
        <v>2011</v>
      </c>
      <c r="H248" s="345">
        <v>2012</v>
      </c>
      <c r="I248" s="345">
        <v>2013</v>
      </c>
      <c r="J248" s="345">
        <v>2014</v>
      </c>
      <c r="K248" s="345">
        <v>2015</v>
      </c>
      <c r="L248" s="345">
        <v>2016</v>
      </c>
      <c r="M248" s="345">
        <v>2017</v>
      </c>
      <c r="N248" s="345">
        <v>2018</v>
      </c>
      <c r="O248" s="345">
        <v>2019</v>
      </c>
      <c r="P248" s="345">
        <v>2020</v>
      </c>
      <c r="Q248" s="345">
        <v>2021</v>
      </c>
      <c r="R248" s="345">
        <v>2022</v>
      </c>
      <c r="S248" s="345">
        <v>2023</v>
      </c>
      <c r="T248" s="346">
        <v>2024</v>
      </c>
    </row>
    <row r="249" spans="3:20">
      <c r="C249" s="388" t="s">
        <v>337</v>
      </c>
      <c r="D249" s="467"/>
      <c r="E249" s="467"/>
      <c r="F249" s="467"/>
      <c r="G249" s="388"/>
      <c r="H249" s="467"/>
      <c r="I249" s="467"/>
      <c r="J249" s="467"/>
      <c r="K249" s="467"/>
      <c r="L249" s="467"/>
      <c r="M249" s="467"/>
      <c r="N249" s="467"/>
      <c r="O249" s="467"/>
      <c r="P249" s="467"/>
      <c r="Q249" s="467"/>
      <c r="R249" s="467"/>
      <c r="S249" s="1461"/>
      <c r="T249" s="306"/>
    </row>
    <row r="250" spans="3:20">
      <c r="C250" s="432" t="s">
        <v>343</v>
      </c>
      <c r="D250" s="316"/>
      <c r="F250" s="96" t="s">
        <v>503</v>
      </c>
      <c r="G250" s="1474"/>
      <c r="H250" s="1475"/>
      <c r="I250" s="1475"/>
      <c r="J250" s="1475"/>
      <c r="K250" s="1475"/>
      <c r="L250" s="1475"/>
      <c r="M250" s="1475"/>
      <c r="N250" s="1475"/>
      <c r="O250" s="1475"/>
      <c r="P250" s="1475"/>
      <c r="Q250" s="1475"/>
      <c r="R250" s="1475"/>
      <c r="S250" s="1475"/>
      <c r="T250" s="1476"/>
    </row>
    <row r="251" spans="3:20">
      <c r="C251" s="71" t="s">
        <v>436</v>
      </c>
      <c r="D251" s="316"/>
      <c r="E251" s="316"/>
      <c r="F251" t="s">
        <v>516</v>
      </c>
      <c r="G251" s="506">
        <f>G186/G$64</f>
        <v>165299028.82329062</v>
      </c>
      <c r="H251" s="312">
        <f t="shared" ref="H251:T251" si="42">H186/H$64</f>
        <v>170515219.44998279</v>
      </c>
      <c r="I251" s="312">
        <f t="shared" si="42"/>
        <v>172351174.23008943</v>
      </c>
      <c r="J251" s="312">
        <f t="shared" si="42"/>
        <v>172717535.86445013</v>
      </c>
      <c r="K251" s="312">
        <f t="shared" si="42"/>
        <v>167148453.17880511</v>
      </c>
      <c r="L251" s="312">
        <f t="shared" si="42"/>
        <v>158843429.86070934</v>
      </c>
      <c r="M251" s="312">
        <f t="shared" si="42"/>
        <v>150745129.43009874</v>
      </c>
      <c r="N251" s="312">
        <f t="shared" si="42"/>
        <v>144555882.81211245</v>
      </c>
      <c r="O251" s="312">
        <f t="shared" si="42"/>
        <v>141982796.21144307</v>
      </c>
      <c r="P251" s="312">
        <f t="shared" si="42"/>
        <v>128600621.20343347</v>
      </c>
      <c r="Q251" s="312">
        <f t="shared" si="42"/>
        <v>136783629.0831764</v>
      </c>
      <c r="R251" s="312">
        <f t="shared" si="42"/>
        <v>131862918.15462105</v>
      </c>
      <c r="S251" s="312">
        <f t="shared" si="42"/>
        <v>135542260.64141095</v>
      </c>
      <c r="T251" s="313">
        <f t="shared" si="42"/>
        <v>139020685.28573722</v>
      </c>
    </row>
    <row r="252" spans="3:20">
      <c r="C252" s="71" t="s">
        <v>437</v>
      </c>
      <c r="D252" s="316"/>
      <c r="E252" s="316"/>
      <c r="F252" t="s">
        <v>516</v>
      </c>
      <c r="G252" s="506">
        <f>G187/G$68</f>
        <v>44894820.933137521</v>
      </c>
      <c r="H252" s="312">
        <f t="shared" ref="H252:S252" si="43">H187/H$68</f>
        <v>46169349.060908578</v>
      </c>
      <c r="I252" s="312">
        <f t="shared" si="43"/>
        <v>45905198.978275143</v>
      </c>
      <c r="J252" s="312">
        <f t="shared" si="43"/>
        <v>45272500.2664259</v>
      </c>
      <c r="K252" s="312">
        <f t="shared" si="43"/>
        <v>42867307.695320256</v>
      </c>
      <c r="L252" s="312">
        <f t="shared" si="43"/>
        <v>40677276.325318605</v>
      </c>
      <c r="M252" s="312">
        <f t="shared" si="43"/>
        <v>40698631.132353052</v>
      </c>
      <c r="N252" s="312">
        <f t="shared" si="43"/>
        <v>41712090.939439677</v>
      </c>
      <c r="O252" s="312">
        <f t="shared" si="43"/>
        <v>41064903.210829213</v>
      </c>
      <c r="P252" s="312">
        <f t="shared" si="43"/>
        <v>36076859.038329147</v>
      </c>
      <c r="Q252" s="312">
        <f t="shared" si="43"/>
        <v>38189644.171185091</v>
      </c>
      <c r="R252" s="312">
        <f t="shared" si="43"/>
        <v>40989589.13267073</v>
      </c>
      <c r="S252" s="312">
        <f t="shared" si="43"/>
        <v>39312360.139123484</v>
      </c>
      <c r="T252" s="313">
        <f>T187/T$68</f>
        <v>39292122.591736741</v>
      </c>
    </row>
    <row r="253" spans="3:20">
      <c r="C253" s="71" t="s">
        <v>416</v>
      </c>
      <c r="D253" s="316"/>
      <c r="E253" s="316"/>
      <c r="G253" s="506"/>
      <c r="H253" s="312"/>
      <c r="I253" s="312"/>
      <c r="J253" s="312"/>
      <c r="K253" s="312"/>
      <c r="L253" s="312"/>
      <c r="M253" s="312"/>
      <c r="N253" s="312"/>
      <c r="O253" s="312"/>
      <c r="P253" s="312"/>
      <c r="Q253" s="312"/>
      <c r="R253" s="312"/>
      <c r="S253" s="312"/>
      <c r="T253" s="31"/>
    </row>
    <row r="254" spans="3:20">
      <c r="C254" s="363" t="s">
        <v>438</v>
      </c>
      <c r="D254" s="316"/>
      <c r="E254" s="316"/>
      <c r="F254" t="s">
        <v>516</v>
      </c>
      <c r="G254" s="506">
        <f>G189/G$69</f>
        <v>9617189.921829544</v>
      </c>
      <c r="H254" s="312">
        <f t="shared" ref="H254:T254" si="44">H189/H$69</f>
        <v>10036874.760094233</v>
      </c>
      <c r="I254" s="312">
        <f t="shared" si="44"/>
        <v>9916197.6784485392</v>
      </c>
      <c r="J254" s="312">
        <f t="shared" si="44"/>
        <v>9645987.3139788415</v>
      </c>
      <c r="K254" s="312">
        <f t="shared" si="44"/>
        <v>9086322.2438744362</v>
      </c>
      <c r="L254" s="312">
        <f t="shared" si="44"/>
        <v>9211731.24468714</v>
      </c>
      <c r="M254" s="312">
        <f t="shared" si="44"/>
        <v>9314255.5485124998</v>
      </c>
      <c r="N254" s="312">
        <f t="shared" si="44"/>
        <v>9414163.9901671652</v>
      </c>
      <c r="O254" s="312">
        <f t="shared" si="44"/>
        <v>8885843.772156192</v>
      </c>
      <c r="P254" s="312">
        <f t="shared" si="44"/>
        <v>7134859.7522007599</v>
      </c>
      <c r="Q254" s="312">
        <f t="shared" si="44"/>
        <v>8528241.6685883086</v>
      </c>
      <c r="R254" s="312">
        <f t="shared" si="44"/>
        <v>10739449.649768962</v>
      </c>
      <c r="S254" s="312">
        <f t="shared" si="44"/>
        <v>9233953.7696386557</v>
      </c>
      <c r="T254" s="313">
        <f t="shared" si="44"/>
        <v>8881326.4852647185</v>
      </c>
    </row>
    <row r="255" spans="3:20">
      <c r="C255" s="363" t="s">
        <v>439</v>
      </c>
      <c r="D255" s="316"/>
      <c r="E255" s="316"/>
      <c r="F255" t="s">
        <v>517</v>
      </c>
      <c r="G255" s="506">
        <f>G190/G$13</f>
        <v>207066.04055534065</v>
      </c>
      <c r="H255" s="312">
        <f t="shared" ref="H255:T255" si="45">H190/H$13</f>
        <v>216327.33086388934</v>
      </c>
      <c r="I255" s="312">
        <f t="shared" si="45"/>
        <v>197486.28834285098</v>
      </c>
      <c r="J255" s="312">
        <f t="shared" si="45"/>
        <v>179260.21740870984</v>
      </c>
      <c r="K255" s="312">
        <f t="shared" si="45"/>
        <v>149737.4175360584</v>
      </c>
      <c r="L255" s="312">
        <f t="shared" si="45"/>
        <v>145040.58752656193</v>
      </c>
      <c r="M255" s="312">
        <f t="shared" si="45"/>
        <v>148009.03058463064</v>
      </c>
      <c r="N255" s="312">
        <f t="shared" si="45"/>
        <v>164202.17077618069</v>
      </c>
      <c r="O255" s="312">
        <f t="shared" si="45"/>
        <v>150189.69816017777</v>
      </c>
      <c r="P255" s="312">
        <f t="shared" si="45"/>
        <v>118172.4258856081</v>
      </c>
      <c r="Q255" s="312">
        <f t="shared" si="45"/>
        <v>139005.77535400024</v>
      </c>
      <c r="R255" s="312">
        <f t="shared" si="45"/>
        <v>149931.67886638027</v>
      </c>
      <c r="S255" s="312">
        <f t="shared" si="45"/>
        <v>84646.640087695836</v>
      </c>
      <c r="T255" s="313">
        <f t="shared" si="45"/>
        <v>99620.266844662983</v>
      </c>
    </row>
    <row r="256" spans="3:20" ht="15" customHeight="1">
      <c r="C256" s="363" t="s">
        <v>440</v>
      </c>
      <c r="D256" s="316"/>
      <c r="E256" s="316"/>
      <c r="F256" t="s">
        <v>517</v>
      </c>
      <c r="G256" s="506">
        <f>G191/G$29</f>
        <v>99362.753488629038</v>
      </c>
      <c r="H256" s="312">
        <f t="shared" ref="H256:T256" si="46">H191/H$29</f>
        <v>100227.98239200382</v>
      </c>
      <c r="I256" s="312">
        <f t="shared" si="46"/>
        <v>98073.068725406338</v>
      </c>
      <c r="J256" s="312">
        <f t="shared" si="46"/>
        <v>97510.888399476971</v>
      </c>
      <c r="K256" s="312">
        <f t="shared" si="46"/>
        <v>87479.056398605608</v>
      </c>
      <c r="L256" s="312">
        <f t="shared" si="46"/>
        <v>84588.325192553675</v>
      </c>
      <c r="M256" s="312">
        <f t="shared" si="46"/>
        <v>92406.738525314038</v>
      </c>
      <c r="N256" s="312">
        <f t="shared" si="46"/>
        <v>94379.763056782744</v>
      </c>
      <c r="O256" s="312">
        <f t="shared" si="46"/>
        <v>92443.025621992507</v>
      </c>
      <c r="P256" s="312">
        <f t="shared" si="46"/>
        <v>79249.701137084936</v>
      </c>
      <c r="Q256" s="312">
        <f t="shared" si="46"/>
        <v>77770.180917494275</v>
      </c>
      <c r="R256" s="312">
        <f t="shared" si="46"/>
        <v>60565.347066676521</v>
      </c>
      <c r="S256" s="312">
        <f t="shared" si="46"/>
        <v>50710.405539355299</v>
      </c>
      <c r="T256" s="313">
        <f t="shared" si="46"/>
        <v>56829.136423173404</v>
      </c>
    </row>
    <row r="257" spans="3:20">
      <c r="C257" s="363" t="s">
        <v>441</v>
      </c>
      <c r="D257" s="316"/>
      <c r="E257" s="316"/>
      <c r="F257" t="s">
        <v>517</v>
      </c>
      <c r="G257" s="506">
        <f>G192/G$29</f>
        <v>63230.843129127585</v>
      </c>
      <c r="H257" s="312">
        <f t="shared" ref="H257:T257" si="47">H192/H$29</f>
        <v>63781.443340366081</v>
      </c>
      <c r="I257" s="312">
        <f t="shared" si="47"/>
        <v>62410.134643440404</v>
      </c>
      <c r="J257" s="312">
        <f t="shared" si="47"/>
        <v>62052.383526939899</v>
      </c>
      <c r="K257" s="312">
        <f t="shared" si="47"/>
        <v>55668.490435476306</v>
      </c>
      <c r="L257" s="312">
        <f t="shared" si="47"/>
        <v>53828.934213443252</v>
      </c>
      <c r="M257" s="312">
        <f t="shared" si="47"/>
        <v>58804.288152472582</v>
      </c>
      <c r="N257" s="312">
        <f t="shared" si="47"/>
        <v>60059.849217952658</v>
      </c>
      <c r="O257" s="312">
        <f t="shared" si="47"/>
        <v>58827.379941267973</v>
      </c>
      <c r="P257" s="312">
        <f t="shared" si="47"/>
        <v>50431.627996326781</v>
      </c>
      <c r="Q257" s="312">
        <f t="shared" si="47"/>
        <v>49490.115129314545</v>
      </c>
      <c r="R257" s="312">
        <f t="shared" si="47"/>
        <v>38541.584496975971</v>
      </c>
      <c r="S257" s="312">
        <f t="shared" si="47"/>
        <v>32270.258070498829</v>
      </c>
      <c r="T257" s="313">
        <f t="shared" si="47"/>
        <v>36163.995905655807</v>
      </c>
    </row>
    <row r="258" spans="3:20">
      <c r="C258" s="363" t="s">
        <v>442</v>
      </c>
      <c r="D258" s="316"/>
      <c r="E258" s="316"/>
      <c r="F258" t="s">
        <v>516</v>
      </c>
      <c r="G258" s="506">
        <f>G193/G$68</f>
        <v>1175816.7387250306</v>
      </c>
      <c r="H258" s="312">
        <f t="shared" ref="H258:T258" si="48">H193/H$68</f>
        <v>1209197.2373095106</v>
      </c>
      <c r="I258" s="312">
        <f t="shared" si="48"/>
        <v>1202279.020859587</v>
      </c>
      <c r="J258" s="312">
        <f t="shared" si="48"/>
        <v>1185708.3403111545</v>
      </c>
      <c r="K258" s="312">
        <f t="shared" si="48"/>
        <v>1122715.201544102</v>
      </c>
      <c r="L258" s="312">
        <f t="shared" si="48"/>
        <v>1065357.2370916777</v>
      </c>
      <c r="M258" s="312">
        <f t="shared" si="48"/>
        <v>1065916.5296568659</v>
      </c>
      <c r="N258" s="312">
        <f t="shared" si="48"/>
        <v>1092459.5246043727</v>
      </c>
      <c r="O258" s="312">
        <f t="shared" si="48"/>
        <v>1075509.3698074319</v>
      </c>
      <c r="P258" s="312">
        <f t="shared" si="48"/>
        <v>944870.11767052545</v>
      </c>
      <c r="Q258" s="312">
        <f t="shared" si="48"/>
        <v>1000204.9663881811</v>
      </c>
      <c r="R258" s="312">
        <f t="shared" si="48"/>
        <v>1073536.8582366144</v>
      </c>
      <c r="S258" s="312">
        <f t="shared" si="48"/>
        <v>1029609.432215139</v>
      </c>
      <c r="T258" s="313">
        <f t="shared" si="48"/>
        <v>1029079.4012121528</v>
      </c>
    </row>
    <row r="259" spans="3:20">
      <c r="C259" s="388" t="s">
        <v>345</v>
      </c>
      <c r="D259" s="467"/>
      <c r="E259" s="467"/>
      <c r="F259" s="467"/>
      <c r="G259" s="522"/>
      <c r="H259" s="468"/>
      <c r="I259" s="468"/>
      <c r="J259" s="468"/>
      <c r="K259" s="468"/>
      <c r="L259" s="468"/>
      <c r="M259" s="468"/>
      <c r="N259" s="468"/>
      <c r="O259" s="468"/>
      <c r="P259" s="468"/>
      <c r="Q259" s="468"/>
      <c r="R259" s="468"/>
      <c r="S259" s="1098"/>
      <c r="T259" s="306"/>
    </row>
    <row r="260" spans="3:20">
      <c r="C260" s="437" t="s">
        <v>343</v>
      </c>
      <c r="D260" s="316"/>
      <c r="F260" s="96" t="s">
        <v>503</v>
      </c>
      <c r="G260" s="523"/>
      <c r="H260" s="323"/>
      <c r="I260" s="323"/>
      <c r="J260" s="323"/>
      <c r="K260" s="323"/>
      <c r="L260" s="323"/>
      <c r="M260" s="323"/>
      <c r="N260" s="323"/>
      <c r="O260" s="323"/>
      <c r="P260" s="323"/>
      <c r="Q260" s="323"/>
      <c r="R260" s="323"/>
      <c r="S260" s="323"/>
      <c r="T260" s="520"/>
    </row>
    <row r="261" spans="3:20">
      <c r="C261" s="71" t="s">
        <v>436</v>
      </c>
      <c r="D261" s="316"/>
      <c r="F261" t="s">
        <v>516</v>
      </c>
      <c r="G261" s="506">
        <f>G196/G$64</f>
        <v>76766170.746795192</v>
      </c>
      <c r="H261" s="312">
        <f t="shared" ref="H261:T261" si="49">H196/H$64</f>
        <v>81686807.248723239</v>
      </c>
      <c r="I261" s="312">
        <f t="shared" si="49"/>
        <v>83574574.304373845</v>
      </c>
      <c r="J261" s="312">
        <f t="shared" si="49"/>
        <v>87586826.442758515</v>
      </c>
      <c r="K261" s="312">
        <f t="shared" si="49"/>
        <v>87749694.929577172</v>
      </c>
      <c r="L261" s="312">
        <f t="shared" si="49"/>
        <v>87796436.17687504</v>
      </c>
      <c r="M261" s="312">
        <f t="shared" si="49"/>
        <v>94268849.138800398</v>
      </c>
      <c r="N261" s="312">
        <f t="shared" si="49"/>
        <v>93998796.859743312</v>
      </c>
      <c r="O261" s="312">
        <f t="shared" si="49"/>
        <v>95662715.490751982</v>
      </c>
      <c r="P261" s="312">
        <f t="shared" si="49"/>
        <v>89847322.897111401</v>
      </c>
      <c r="Q261" s="312">
        <f t="shared" si="49"/>
        <v>93723270.522956491</v>
      </c>
      <c r="R261" s="312">
        <f t="shared" si="49"/>
        <v>96794814.555592924</v>
      </c>
      <c r="S261" s="312">
        <f t="shared" si="49"/>
        <v>95321819.788523406</v>
      </c>
      <c r="T261" s="313">
        <f t="shared" si="49"/>
        <v>97260301.647421882</v>
      </c>
    </row>
    <row r="262" spans="3:20">
      <c r="C262" s="71" t="s">
        <v>437</v>
      </c>
      <c r="D262" s="316"/>
      <c r="F262" t="s">
        <v>516</v>
      </c>
      <c r="G262" s="506">
        <f>G197/G$68</f>
        <v>20849508.396593988</v>
      </c>
      <c r="H262" s="312">
        <f t="shared" ref="H262:T262" si="50">H197/H$68</f>
        <v>22117830.476966497</v>
      </c>
      <c r="I262" s="312">
        <f t="shared" si="50"/>
        <v>22259827.82017586</v>
      </c>
      <c r="J262" s="312">
        <f t="shared" si="50"/>
        <v>22958147.264080685</v>
      </c>
      <c r="K262" s="312">
        <f t="shared" si="50"/>
        <v>22504504.834949013</v>
      </c>
      <c r="L262" s="312">
        <f t="shared" si="50"/>
        <v>22483271.092022214</v>
      </c>
      <c r="M262" s="312">
        <f t="shared" si="50"/>
        <v>25450992.233553596</v>
      </c>
      <c r="N262" s="312">
        <f t="shared" si="50"/>
        <v>27123672.081251308</v>
      </c>
      <c r="O262" s="312">
        <f t="shared" si="50"/>
        <v>27668001.034876186</v>
      </c>
      <c r="P262" s="312">
        <f t="shared" si="50"/>
        <v>25205237.523718815</v>
      </c>
      <c r="Q262" s="312">
        <f t="shared" si="50"/>
        <v>26167300.691041958</v>
      </c>
      <c r="R262" s="312">
        <f t="shared" si="50"/>
        <v>30088668.856504966</v>
      </c>
      <c r="S262" s="312">
        <f t="shared" si="50"/>
        <v>27646917.580613039</v>
      </c>
      <c r="T262" s="313">
        <f t="shared" si="50"/>
        <v>27489173.195953649</v>
      </c>
    </row>
    <row r="263" spans="3:20">
      <c r="C263" s="71" t="s">
        <v>416</v>
      </c>
      <c r="D263" s="316"/>
      <c r="G263" s="506"/>
      <c r="H263" s="312"/>
      <c r="I263" s="312"/>
      <c r="J263" s="312"/>
      <c r="K263" s="312"/>
      <c r="L263" s="312"/>
      <c r="M263" s="312"/>
      <c r="N263" s="312"/>
      <c r="O263" s="312"/>
      <c r="P263" s="312"/>
      <c r="Q263" s="312"/>
      <c r="R263" s="312"/>
      <c r="S263" s="312"/>
      <c r="T263" s="31"/>
    </row>
    <row r="264" spans="3:20">
      <c r="C264" s="363" t="s">
        <v>438</v>
      </c>
      <c r="D264" s="316"/>
      <c r="F264" t="s">
        <v>516</v>
      </c>
      <c r="G264" s="506">
        <f>G199/G$69</f>
        <v>4466298.7368955528</v>
      </c>
      <c r="H264" s="312">
        <f t="shared" ref="H264:T264" si="51">H199/H$69</f>
        <v>4808252.638984452</v>
      </c>
      <c r="I264" s="312">
        <f t="shared" si="51"/>
        <v>4808449.9766040668</v>
      </c>
      <c r="J264" s="312">
        <f t="shared" si="51"/>
        <v>4891578.6837160988</v>
      </c>
      <c r="K264" s="312">
        <f t="shared" si="51"/>
        <v>4770142.8865685463</v>
      </c>
      <c r="L264" s="312">
        <f t="shared" si="51"/>
        <v>5091536.836064944</v>
      </c>
      <c r="M264" s="312">
        <f t="shared" si="51"/>
        <v>5824693.3381029246</v>
      </c>
      <c r="N264" s="312">
        <f t="shared" si="51"/>
        <v>6121647.0149901481</v>
      </c>
      <c r="O264" s="312">
        <f t="shared" si="51"/>
        <v>5986950.3020996209</v>
      </c>
      <c r="P264" s="312">
        <f t="shared" si="51"/>
        <v>4984797.4448545724</v>
      </c>
      <c r="Q264" s="312">
        <f t="shared" si="51"/>
        <v>5843496.8157206215</v>
      </c>
      <c r="R264" s="312">
        <f t="shared" si="51"/>
        <v>7883361.3864026591</v>
      </c>
      <c r="S264" s="312">
        <f t="shared" si="51"/>
        <v>6493895.5053560156</v>
      </c>
      <c r="T264" s="313">
        <f t="shared" si="51"/>
        <v>6213467.3786901925</v>
      </c>
    </row>
    <row r="265" spans="3:20">
      <c r="C265" s="363" t="s">
        <v>439</v>
      </c>
      <c r="D265" s="316"/>
      <c r="F265" t="s">
        <v>517</v>
      </c>
      <c r="G265" s="506">
        <f>G200/G$13</f>
        <v>96163.099918312379</v>
      </c>
      <c r="H265" s="312">
        <f t="shared" ref="H265:T265" si="52">H200/H$13</f>
        <v>103633.49990639846</v>
      </c>
      <c r="I265" s="312">
        <f t="shared" si="52"/>
        <v>95762.80842259065</v>
      </c>
      <c r="J265" s="312">
        <f t="shared" si="52"/>
        <v>90904.687075838927</v>
      </c>
      <c r="K265" s="312">
        <f t="shared" si="52"/>
        <v>78609.239023445291</v>
      </c>
      <c r="L265" s="312">
        <f t="shared" si="52"/>
        <v>80167.286094230047</v>
      </c>
      <c r="M265" s="312">
        <f t="shared" si="52"/>
        <v>92557.822784135424</v>
      </c>
      <c r="N265" s="312">
        <f t="shared" si="52"/>
        <v>106773.97691784424</v>
      </c>
      <c r="O265" s="312">
        <f t="shared" si="52"/>
        <v>101192.22010068463</v>
      </c>
      <c r="P265" s="312">
        <f t="shared" si="52"/>
        <v>82561.623783165094</v>
      </c>
      <c r="Q265" s="312">
        <f t="shared" si="52"/>
        <v>95245.870979443556</v>
      </c>
      <c r="R265" s="312">
        <f t="shared" si="52"/>
        <v>110058.30338793701</v>
      </c>
      <c r="S265" s="312">
        <f t="shared" si="52"/>
        <v>59528.826905799731</v>
      </c>
      <c r="T265" s="313">
        <f t="shared" si="52"/>
        <v>69695.363561142163</v>
      </c>
    </row>
    <row r="266" spans="3:20">
      <c r="C266" s="363" t="s">
        <v>440</v>
      </c>
      <c r="D266" s="316"/>
      <c r="F266" t="s">
        <v>517</v>
      </c>
      <c r="G266" s="506">
        <f>G201/G$29</f>
        <v>46144.845220682102</v>
      </c>
      <c r="H266" s="312">
        <f t="shared" ref="H266:T266" si="53">H201/H$29</f>
        <v>48015.091585332782</v>
      </c>
      <c r="I266" s="312">
        <f t="shared" si="53"/>
        <v>47556.478834934947</v>
      </c>
      <c r="J266" s="312">
        <f t="shared" si="53"/>
        <v>49448.767409621672</v>
      </c>
      <c r="K266" s="312">
        <f t="shared" si="53"/>
        <v>45924.807353696102</v>
      </c>
      <c r="L266" s="312">
        <f t="shared" si="53"/>
        <v>46753.923033449813</v>
      </c>
      <c r="M266" s="312">
        <f t="shared" si="53"/>
        <v>57786.788378398473</v>
      </c>
      <c r="N266" s="312">
        <f t="shared" si="53"/>
        <v>61371.311929076815</v>
      </c>
      <c r="O266" s="312">
        <f t="shared" si="53"/>
        <v>62284.664728051292</v>
      </c>
      <c r="P266" s="312">
        <f t="shared" si="53"/>
        <v>55368.111140765948</v>
      </c>
      <c r="Q266" s="312">
        <f t="shared" si="53"/>
        <v>53287.632106304998</v>
      </c>
      <c r="R266" s="312">
        <f t="shared" si="53"/>
        <v>44458.378593896094</v>
      </c>
      <c r="S266" s="312">
        <f t="shared" si="53"/>
        <v>35662.738066717298</v>
      </c>
      <c r="T266" s="313">
        <f t="shared" si="53"/>
        <v>39758.248490287064</v>
      </c>
    </row>
    <row r="267" spans="3:20">
      <c r="C267" s="363" t="s">
        <v>441</v>
      </c>
      <c r="D267" s="316"/>
      <c r="F267" t="s">
        <v>517</v>
      </c>
      <c r="G267" s="506">
        <f>G202/G$29</f>
        <v>29364.901504070436</v>
      </c>
      <c r="H267" s="312">
        <f t="shared" ref="H267:T267" si="54">H202/H$29</f>
        <v>30555.058281575413</v>
      </c>
      <c r="I267" s="312">
        <f t="shared" si="54"/>
        <v>30263.213804049519</v>
      </c>
      <c r="J267" s="312">
        <f t="shared" si="54"/>
        <v>31467.397442486523</v>
      </c>
      <c r="K267" s="312">
        <f t="shared" si="54"/>
        <v>29224.877406897525</v>
      </c>
      <c r="L267" s="312">
        <f t="shared" si="54"/>
        <v>29752.496475831707</v>
      </c>
      <c r="M267" s="312">
        <f t="shared" si="54"/>
        <v>36773.410786253575</v>
      </c>
      <c r="N267" s="312">
        <f t="shared" si="54"/>
        <v>39054.471227594346</v>
      </c>
      <c r="O267" s="312">
        <f t="shared" si="54"/>
        <v>39635.695736032649</v>
      </c>
      <c r="P267" s="312">
        <f t="shared" si="54"/>
        <v>35234.252544123796</v>
      </c>
      <c r="Q267" s="312">
        <f t="shared" si="54"/>
        <v>33910.311340375913</v>
      </c>
      <c r="R267" s="312">
        <f t="shared" si="54"/>
        <v>28291.695468842972</v>
      </c>
      <c r="S267" s="312">
        <f t="shared" si="54"/>
        <v>22694.469678820104</v>
      </c>
      <c r="T267" s="313">
        <f t="shared" si="54"/>
        <v>25300.703584728137</v>
      </c>
    </row>
    <row r="268" spans="3:20">
      <c r="C268" s="363" t="s">
        <v>442</v>
      </c>
      <c r="D268" s="316"/>
      <c r="F268" t="s">
        <v>516</v>
      </c>
      <c r="G268" s="506">
        <f>G203/G$68</f>
        <v>546058.55324412836</v>
      </c>
      <c r="H268" s="312">
        <f t="shared" ref="H268:T268" si="55">H203/H$68</f>
        <v>579276.51249197987</v>
      </c>
      <c r="I268" s="312">
        <f t="shared" si="55"/>
        <v>582995.49052841554</v>
      </c>
      <c r="J268" s="312">
        <f t="shared" si="55"/>
        <v>601284.8092973514</v>
      </c>
      <c r="K268" s="312">
        <f t="shared" si="55"/>
        <v>589403.69805818854</v>
      </c>
      <c r="L268" s="312">
        <f t="shared" si="55"/>
        <v>588847.5762196295</v>
      </c>
      <c r="M268" s="312">
        <f t="shared" si="55"/>
        <v>666573.60611687996</v>
      </c>
      <c r="N268" s="312">
        <f t="shared" si="55"/>
        <v>710381.88784229627</v>
      </c>
      <c r="O268" s="312">
        <f t="shared" si="55"/>
        <v>724638.12234199548</v>
      </c>
      <c r="P268" s="312">
        <f t="shared" si="55"/>
        <v>660137.17324025475</v>
      </c>
      <c r="Q268" s="312">
        <f t="shared" si="55"/>
        <v>685334.06571776571</v>
      </c>
      <c r="R268" s="312">
        <f t="shared" si="55"/>
        <v>788036.56528941588</v>
      </c>
      <c r="S268" s="312">
        <f t="shared" si="55"/>
        <v>724085.93663510354</v>
      </c>
      <c r="T268" s="313">
        <f t="shared" si="55"/>
        <v>719954.53608450049</v>
      </c>
    </row>
    <row r="269" spans="3:20">
      <c r="C269" s="388" t="s">
        <v>346</v>
      </c>
      <c r="D269" s="467"/>
      <c r="E269" s="467"/>
      <c r="F269" s="467"/>
      <c r="G269" s="522"/>
      <c r="H269" s="468"/>
      <c r="I269" s="468"/>
      <c r="J269" s="468"/>
      <c r="K269" s="468"/>
      <c r="L269" s="468"/>
      <c r="M269" s="468"/>
      <c r="N269" s="468"/>
      <c r="O269" s="468"/>
      <c r="P269" s="468"/>
      <c r="Q269" s="468"/>
      <c r="R269" s="468"/>
      <c r="S269" s="1098"/>
      <c r="T269" s="306"/>
    </row>
    <row r="270" spans="3:20">
      <c r="C270" s="437" t="s">
        <v>343</v>
      </c>
      <c r="F270" s="96" t="s">
        <v>503</v>
      </c>
      <c r="G270" s="523"/>
      <c r="H270" s="323"/>
      <c r="I270" s="323"/>
      <c r="J270" s="323"/>
      <c r="K270" s="323"/>
      <c r="L270" s="323"/>
      <c r="M270" s="323"/>
      <c r="N270" s="323"/>
      <c r="O270" s="323"/>
      <c r="P270" s="323"/>
      <c r="Q270" s="323"/>
      <c r="R270" s="323"/>
      <c r="S270" s="323"/>
      <c r="T270" s="520"/>
    </row>
    <row r="271" spans="3:20">
      <c r="C271" s="71" t="s">
        <v>436</v>
      </c>
      <c r="F271" t="s">
        <v>516</v>
      </c>
      <c r="G271" s="506">
        <f>G206/G$64</f>
        <v>41043173.736478075</v>
      </c>
      <c r="H271" s="312">
        <f t="shared" ref="H271:T271" si="56">H206/H$64</f>
        <v>42583029.597276166</v>
      </c>
      <c r="I271" s="312">
        <f t="shared" si="56"/>
        <v>43160156.568414465</v>
      </c>
      <c r="J271" s="312">
        <f t="shared" si="56"/>
        <v>43294250.731378324</v>
      </c>
      <c r="K271" s="312">
        <f t="shared" si="56"/>
        <v>43634255.401031643</v>
      </c>
      <c r="L271" s="312">
        <f t="shared" si="56"/>
        <v>42348067.824200317</v>
      </c>
      <c r="M271" s="312">
        <f t="shared" si="56"/>
        <v>38505202.909993395</v>
      </c>
      <c r="N271" s="312">
        <f t="shared" si="56"/>
        <v>40049269.907968447</v>
      </c>
      <c r="O271" s="312">
        <f t="shared" si="56"/>
        <v>40223959.45665881</v>
      </c>
      <c r="P271" s="312">
        <f t="shared" si="56"/>
        <v>37906029.373826012</v>
      </c>
      <c r="Q271" s="312">
        <f t="shared" si="56"/>
        <v>40443391.587627903</v>
      </c>
      <c r="R271" s="312">
        <f t="shared" si="56"/>
        <v>41381479.97051537</v>
      </c>
      <c r="S271" s="312">
        <f t="shared" si="56"/>
        <v>40887115.325178653</v>
      </c>
      <c r="T271" s="313">
        <f t="shared" si="56"/>
        <v>40230508.536732607</v>
      </c>
    </row>
    <row r="272" spans="3:20">
      <c r="C272" s="71" t="s">
        <v>437</v>
      </c>
      <c r="F272" t="s">
        <v>516</v>
      </c>
      <c r="G272" s="506">
        <f>G207/G$68</f>
        <v>11147227.836387688</v>
      </c>
      <c r="H272" s="312">
        <f t="shared" ref="H272:T272" si="57">H207/H$68</f>
        <v>11529942.980393842</v>
      </c>
      <c r="I272" s="312">
        <f t="shared" si="57"/>
        <v>11495573.407359352</v>
      </c>
      <c r="J272" s="312">
        <f t="shared" si="57"/>
        <v>11348233.796649845</v>
      </c>
      <c r="K272" s="312">
        <f t="shared" si="57"/>
        <v>11190549.578890126</v>
      </c>
      <c r="L272" s="312">
        <f t="shared" si="57"/>
        <v>10844666.715135092</v>
      </c>
      <c r="M272" s="312">
        <f t="shared" si="57"/>
        <v>10395752.458701523</v>
      </c>
      <c r="N272" s="312">
        <f t="shared" si="57"/>
        <v>11556352.850963801</v>
      </c>
      <c r="O272" s="312">
        <f t="shared" si="57"/>
        <v>11633754.552799027</v>
      </c>
      <c r="P272" s="312">
        <f t="shared" si="57"/>
        <v>10633933.690405643</v>
      </c>
      <c r="Q272" s="312">
        <f t="shared" si="57"/>
        <v>11291692.903309414</v>
      </c>
      <c r="R272" s="312">
        <f t="shared" si="57"/>
        <v>12863433.370284665</v>
      </c>
      <c r="S272" s="312">
        <f t="shared" si="57"/>
        <v>11858803.262590811</v>
      </c>
      <c r="T272" s="313">
        <f t="shared" si="57"/>
        <v>11370553.023129033</v>
      </c>
    </row>
    <row r="273" spans="3:20">
      <c r="C273" s="71" t="s">
        <v>416</v>
      </c>
      <c r="G273" s="506"/>
      <c r="H273" s="312"/>
      <c r="I273" s="312"/>
      <c r="J273" s="312"/>
      <c r="K273" s="312"/>
      <c r="L273" s="312"/>
      <c r="M273" s="312"/>
      <c r="N273" s="312"/>
      <c r="O273" s="312"/>
      <c r="P273" s="312"/>
      <c r="Q273" s="312"/>
      <c r="R273" s="312"/>
      <c r="S273" s="312"/>
      <c r="T273" s="31"/>
    </row>
    <row r="274" spans="3:20">
      <c r="C274" s="363" t="s">
        <v>438</v>
      </c>
      <c r="F274" t="s">
        <v>516</v>
      </c>
      <c r="G274" s="506">
        <f>G209/G$69</f>
        <v>2387914.7967670327</v>
      </c>
      <c r="H274" s="312">
        <f t="shared" ref="H274:T274" si="58">H209/H$69</f>
        <v>2506524.2642379855</v>
      </c>
      <c r="I274" s="312">
        <f t="shared" si="58"/>
        <v>2483212.8140526963</v>
      </c>
      <c r="J274" s="312">
        <f t="shared" si="58"/>
        <v>2417911.9464212484</v>
      </c>
      <c r="K274" s="312">
        <f t="shared" si="58"/>
        <v>2371992.6682250998</v>
      </c>
      <c r="L274" s="312">
        <f t="shared" si="58"/>
        <v>2455871.2933257367</v>
      </c>
      <c r="M274" s="312">
        <f t="shared" si="58"/>
        <v>2379163.4343802272</v>
      </c>
      <c r="N274" s="312">
        <f t="shared" si="58"/>
        <v>2608198.2086480013</v>
      </c>
      <c r="O274" s="312">
        <f t="shared" si="58"/>
        <v>2517374.1408581184</v>
      </c>
      <c r="P274" s="312">
        <f t="shared" si="58"/>
        <v>2103055.1860027118</v>
      </c>
      <c r="Q274" s="312">
        <f t="shared" si="58"/>
        <v>2521581.1253765328</v>
      </c>
      <c r="R274" s="312">
        <f t="shared" si="58"/>
        <v>3370275.1827102518</v>
      </c>
      <c r="S274" s="312">
        <f t="shared" si="58"/>
        <v>2785476.1378477006</v>
      </c>
      <c r="T274" s="313">
        <f t="shared" si="58"/>
        <v>2570123.145692829</v>
      </c>
    </row>
    <row r="275" spans="3:20">
      <c r="C275" s="363" t="s">
        <v>439</v>
      </c>
      <c r="F275" t="s">
        <v>517</v>
      </c>
      <c r="G275" s="506">
        <f>G210/G$13</f>
        <v>51413.777430735885</v>
      </c>
      <c r="H275" s="312">
        <f t="shared" ref="H275:T275" si="59">H210/H$13</f>
        <v>54023.759067318155</v>
      </c>
      <c r="I275" s="312">
        <f t="shared" si="59"/>
        <v>49454.488274118383</v>
      </c>
      <c r="J275" s="312">
        <f t="shared" si="59"/>
        <v>44934.272364474367</v>
      </c>
      <c r="K275" s="312">
        <f t="shared" si="59"/>
        <v>39089.088744781613</v>
      </c>
      <c r="L275" s="312">
        <f t="shared" si="59"/>
        <v>38668.194480708611</v>
      </c>
      <c r="M275" s="312">
        <f t="shared" si="59"/>
        <v>37806.314384540892</v>
      </c>
      <c r="N275" s="312">
        <f t="shared" si="59"/>
        <v>45492.28249283375</v>
      </c>
      <c r="O275" s="312">
        <f t="shared" si="59"/>
        <v>42548.988263381754</v>
      </c>
      <c r="P275" s="312">
        <f t="shared" si="59"/>
        <v>34832.238016254181</v>
      </c>
      <c r="Q275" s="312">
        <f t="shared" si="59"/>
        <v>41100.42293266749</v>
      </c>
      <c r="R275" s="312">
        <f t="shared" si="59"/>
        <v>47051.85394638127</v>
      </c>
      <c r="S275" s="312">
        <f t="shared" si="59"/>
        <v>25534.153840850995</v>
      </c>
      <c r="T275" s="313">
        <f t="shared" si="59"/>
        <v>28828.616313380895</v>
      </c>
    </row>
    <row r="276" spans="3:20">
      <c r="C276" s="363" t="s">
        <v>440</v>
      </c>
      <c r="F276" t="s">
        <v>517</v>
      </c>
      <c r="G276" s="506">
        <f>G211/G$29</f>
        <v>24671.425981143038</v>
      </c>
      <c r="H276" s="312">
        <f t="shared" ref="H276:T276" si="60">H211/H$29</f>
        <v>25030.089128940817</v>
      </c>
      <c r="I276" s="312">
        <f t="shared" si="60"/>
        <v>24559.443939050514</v>
      </c>
      <c r="J276" s="312">
        <f t="shared" si="60"/>
        <v>24442.572262723763</v>
      </c>
      <c r="K276" s="312">
        <f t="shared" si="60"/>
        <v>22836.487066109596</v>
      </c>
      <c r="L276" s="312">
        <f t="shared" si="60"/>
        <v>22551.465525083306</v>
      </c>
      <c r="M276" s="312">
        <f t="shared" si="60"/>
        <v>23603.682789750415</v>
      </c>
      <c r="N276" s="312">
        <f t="shared" si="60"/>
        <v>26147.954209681498</v>
      </c>
      <c r="O276" s="312">
        <f t="shared" si="60"/>
        <v>26189.261050559675</v>
      </c>
      <c r="P276" s="312">
        <f t="shared" si="60"/>
        <v>23359.463360734298</v>
      </c>
      <c r="Q276" s="312">
        <f t="shared" si="60"/>
        <v>22994.636871158586</v>
      </c>
      <c r="R276" s="312">
        <f t="shared" si="60"/>
        <v>19006.736174366659</v>
      </c>
      <c r="S276" s="312">
        <f t="shared" si="60"/>
        <v>15297.090292448107</v>
      </c>
      <c r="T276" s="313">
        <f t="shared" si="60"/>
        <v>16445.50272003427</v>
      </c>
    </row>
    <row r="277" spans="3:20">
      <c r="C277" s="363" t="s">
        <v>441</v>
      </c>
      <c r="F277" t="s">
        <v>517</v>
      </c>
      <c r="G277" s="506">
        <f>G212/G$29</f>
        <v>15699.998351636483</v>
      </c>
      <c r="H277" s="312">
        <f t="shared" ref="H277:T277" si="61">H212/H$29</f>
        <v>15928.238536598707</v>
      </c>
      <c r="I277" s="312">
        <f t="shared" si="61"/>
        <v>15628.737052123059</v>
      </c>
      <c r="J277" s="312">
        <f t="shared" si="61"/>
        <v>15554.36416718785</v>
      </c>
      <c r="K277" s="312">
        <f t="shared" si="61"/>
        <v>14532.309951160656</v>
      </c>
      <c r="L277" s="312">
        <f t="shared" si="61"/>
        <v>14350.932606871198</v>
      </c>
      <c r="M277" s="312">
        <f t="shared" si="61"/>
        <v>15020.525411659359</v>
      </c>
      <c r="N277" s="312">
        <f t="shared" si="61"/>
        <v>16639.607224342773</v>
      </c>
      <c r="O277" s="312">
        <f t="shared" si="61"/>
        <v>16665.893395810705</v>
      </c>
      <c r="P277" s="312">
        <f t="shared" si="61"/>
        <v>14865.113047740011</v>
      </c>
      <c r="Q277" s="312">
        <f t="shared" si="61"/>
        <v>14632.950736191829</v>
      </c>
      <c r="R277" s="312">
        <f t="shared" si="61"/>
        <v>12095.19574732424</v>
      </c>
      <c r="S277" s="312">
        <f t="shared" si="61"/>
        <v>9734.5120042851595</v>
      </c>
      <c r="T277" s="313">
        <f t="shared" si="61"/>
        <v>10465.319912749083</v>
      </c>
    </row>
    <row r="278" spans="3:20">
      <c r="C278" s="363" t="s">
        <v>442</v>
      </c>
      <c r="F278" t="s">
        <v>516</v>
      </c>
      <c r="G278" s="506">
        <f>G213/G$68</f>
        <v>291951.20523872518</v>
      </c>
      <c r="H278" s="312">
        <f t="shared" ref="H278:T278" si="62">H213/H$68</f>
        <v>301974.697105553</v>
      </c>
      <c r="I278" s="312">
        <f t="shared" si="62"/>
        <v>301074.5416213164</v>
      </c>
      <c r="J278" s="312">
        <f t="shared" si="62"/>
        <v>297215.64705511497</v>
      </c>
      <c r="K278" s="312">
        <f t="shared" si="62"/>
        <v>293085.82230426522</v>
      </c>
      <c r="L278" s="312">
        <f t="shared" si="62"/>
        <v>284026.98539639526</v>
      </c>
      <c r="M278" s="312">
        <f t="shared" si="62"/>
        <v>272269.70725170657</v>
      </c>
      <c r="N278" s="312">
        <f t="shared" si="62"/>
        <v>302666.38419190911</v>
      </c>
      <c r="O278" s="312">
        <f t="shared" si="62"/>
        <v>304693.57162092696</v>
      </c>
      <c r="P278" s="312">
        <f t="shared" si="62"/>
        <v>278507.7871296716</v>
      </c>
      <c r="Q278" s="312">
        <f t="shared" si="62"/>
        <v>295734.81413429423</v>
      </c>
      <c r="R278" s="312">
        <f t="shared" si="62"/>
        <v>336899.44541221746</v>
      </c>
      <c r="S278" s="312">
        <f t="shared" si="62"/>
        <v>310587.70449642598</v>
      </c>
      <c r="T278" s="313">
        <f t="shared" si="62"/>
        <v>297800.19822480803</v>
      </c>
    </row>
    <row r="279" spans="3:20">
      <c r="C279" s="388" t="s">
        <v>325</v>
      </c>
      <c r="D279" s="467"/>
      <c r="E279" s="467"/>
      <c r="F279" s="467"/>
      <c r="G279" s="522"/>
      <c r="H279" s="468"/>
      <c r="I279" s="468"/>
      <c r="J279" s="468"/>
      <c r="K279" s="468"/>
      <c r="L279" s="468"/>
      <c r="M279" s="468"/>
      <c r="N279" s="468"/>
      <c r="O279" s="468"/>
      <c r="P279" s="468"/>
      <c r="Q279" s="468"/>
      <c r="R279" s="468"/>
      <c r="S279" s="1098"/>
      <c r="T279" s="306"/>
    </row>
    <row r="280" spans="3:20">
      <c r="C280" s="437" t="s">
        <v>343</v>
      </c>
      <c r="F280" s="96" t="s">
        <v>503</v>
      </c>
      <c r="G280" s="523"/>
      <c r="H280" s="323"/>
      <c r="I280" s="323"/>
      <c r="J280" s="323"/>
      <c r="K280" s="323"/>
      <c r="L280" s="323"/>
      <c r="M280" s="323"/>
      <c r="N280" s="323"/>
      <c r="O280" s="323"/>
      <c r="P280" s="323"/>
      <c r="Q280" s="323"/>
      <c r="R280" s="323"/>
      <c r="S280" s="323"/>
      <c r="T280" s="520"/>
    </row>
    <row r="281" spans="3:20">
      <c r="C281" s="71" t="s">
        <v>436</v>
      </c>
      <c r="F281" t="s">
        <v>516</v>
      </c>
      <c r="G281" s="506">
        <f>G216/G$64</f>
        <v>61389858.649771377</v>
      </c>
      <c r="H281" s="312">
        <f t="shared" ref="H281:T281" si="63">H216/H$64</f>
        <v>66098120.27432669</v>
      </c>
      <c r="I281" s="312">
        <f t="shared" si="63"/>
        <v>68844198.484538779</v>
      </c>
      <c r="J281" s="312">
        <f t="shared" si="63"/>
        <v>64683382.793568596</v>
      </c>
      <c r="K281" s="312">
        <f t="shared" si="63"/>
        <v>63135472.176698565</v>
      </c>
      <c r="L281" s="312">
        <f t="shared" si="63"/>
        <v>59553106.217023745</v>
      </c>
      <c r="M281" s="312">
        <f t="shared" si="63"/>
        <v>58596036.406980164</v>
      </c>
      <c r="N281" s="312">
        <f t="shared" si="63"/>
        <v>56121233.558280326</v>
      </c>
      <c r="O281" s="312">
        <f t="shared" si="63"/>
        <v>54736565.241088703</v>
      </c>
      <c r="P281" s="312">
        <f t="shared" si="63"/>
        <v>47069148.181761719</v>
      </c>
      <c r="Q281" s="312">
        <f t="shared" si="63"/>
        <v>54336623.66764129</v>
      </c>
      <c r="R281" s="312">
        <f t="shared" si="63"/>
        <v>54335230.130137786</v>
      </c>
      <c r="S281" s="312">
        <f t="shared" si="63"/>
        <v>54099276.847544387</v>
      </c>
      <c r="T281" s="313">
        <f t="shared" si="63"/>
        <v>56466595.296270847</v>
      </c>
    </row>
    <row r="282" spans="3:20">
      <c r="C282" s="71" t="s">
        <v>437</v>
      </c>
      <c r="F282" t="s">
        <v>516</v>
      </c>
      <c r="G282" s="506">
        <f>G217/G$68</f>
        <v>16673338.801877927</v>
      </c>
      <c r="H282" s="312">
        <f t="shared" ref="H282:T282" si="64">H217/H$68</f>
        <v>17896978.328731906</v>
      </c>
      <c r="I282" s="312">
        <f t="shared" si="64"/>
        <v>18336438.05474513</v>
      </c>
      <c r="J282" s="312">
        <f t="shared" si="64"/>
        <v>16954725.819232237</v>
      </c>
      <c r="K282" s="312">
        <f t="shared" si="64"/>
        <v>16191880.097105516</v>
      </c>
      <c r="L282" s="312">
        <f t="shared" si="64"/>
        <v>15250603.438525539</v>
      </c>
      <c r="M282" s="312">
        <f t="shared" si="64"/>
        <v>15819937.138675176</v>
      </c>
      <c r="N282" s="312">
        <f t="shared" si="64"/>
        <v>16193972.547344673</v>
      </c>
      <c r="O282" s="312">
        <f t="shared" si="64"/>
        <v>15831155.701224236</v>
      </c>
      <c r="P282" s="312">
        <f t="shared" si="64"/>
        <v>13204500.94343951</v>
      </c>
      <c r="Q282" s="312">
        <f t="shared" si="64"/>
        <v>15170648.251107413</v>
      </c>
      <c r="R282" s="312">
        <f t="shared" si="64"/>
        <v>16890106.708027594</v>
      </c>
      <c r="S282" s="312">
        <f t="shared" si="64"/>
        <v>15690827.677157968</v>
      </c>
      <c r="T282" s="313">
        <f t="shared" si="64"/>
        <v>15959440.713148933</v>
      </c>
    </row>
    <row r="283" spans="3:20">
      <c r="C283" s="71" t="s">
        <v>416</v>
      </c>
      <c r="G283" s="506"/>
      <c r="H283" s="312"/>
      <c r="I283" s="312"/>
      <c r="J283" s="312"/>
      <c r="K283" s="312"/>
      <c r="L283" s="312"/>
      <c r="M283" s="312"/>
      <c r="N283" s="312"/>
      <c r="O283" s="312"/>
      <c r="P283" s="312"/>
      <c r="Q283" s="312"/>
      <c r="R283" s="312"/>
      <c r="S283" s="312"/>
      <c r="T283" s="31"/>
    </row>
    <row r="284" spans="3:20">
      <c r="C284" s="363" t="s">
        <v>438</v>
      </c>
      <c r="F284" t="s">
        <v>516</v>
      </c>
      <c r="G284" s="506">
        <f>G219/G$69</f>
        <v>3571696.3016175595</v>
      </c>
      <c r="H284" s="312">
        <f t="shared" ref="H284:T284" si="65">H219/H$69</f>
        <v>3890670.6228980506</v>
      </c>
      <c r="I284" s="312">
        <f t="shared" si="65"/>
        <v>3960940.1226107306</v>
      </c>
      <c r="J284" s="312">
        <f t="shared" si="65"/>
        <v>3612459.422427543</v>
      </c>
      <c r="K284" s="312">
        <f t="shared" si="65"/>
        <v>3432094.2509888243</v>
      </c>
      <c r="L284" s="312">
        <f t="shared" si="65"/>
        <v>3453634.8764225794</v>
      </c>
      <c r="M284" s="312">
        <f t="shared" si="65"/>
        <v>3620537.9191215294</v>
      </c>
      <c r="N284" s="312">
        <f t="shared" si="65"/>
        <v>3654880.6300386288</v>
      </c>
      <c r="O284" s="312">
        <f t="shared" si="65"/>
        <v>3425630.2899713516</v>
      </c>
      <c r="P284" s="312">
        <f t="shared" si="65"/>
        <v>2611431.9494706998</v>
      </c>
      <c r="Q284" s="312">
        <f t="shared" si="65"/>
        <v>3387802.0432620263</v>
      </c>
      <c r="R284" s="312">
        <f t="shared" si="65"/>
        <v>4425281.0142346648</v>
      </c>
      <c r="S284" s="312">
        <f t="shared" si="65"/>
        <v>3685568.0214948757</v>
      </c>
      <c r="T284" s="313">
        <f t="shared" si="65"/>
        <v>3607364.3811116042</v>
      </c>
    </row>
    <row r="285" spans="3:20">
      <c r="C285" s="363" t="s">
        <v>439</v>
      </c>
      <c r="F285" t="s">
        <v>517</v>
      </c>
      <c r="G285" s="506">
        <f>G220/G$13</f>
        <v>76901.570755442357</v>
      </c>
      <c r="H285" s="312">
        <f t="shared" ref="H285:T285" si="66">H220/H$13</f>
        <v>83856.619838322978</v>
      </c>
      <c r="I285" s="312">
        <f t="shared" si="66"/>
        <v>78884.204261351115</v>
      </c>
      <c r="J285" s="312">
        <f t="shared" si="66"/>
        <v>67133.642245833471</v>
      </c>
      <c r="K285" s="312">
        <f t="shared" si="66"/>
        <v>56558.959289593178</v>
      </c>
      <c r="L285" s="312">
        <f t="shared" si="66"/>
        <v>54378.185627968654</v>
      </c>
      <c r="M285" s="312">
        <f t="shared" si="66"/>
        <v>57532.489291605605</v>
      </c>
      <c r="N285" s="312">
        <f t="shared" si="66"/>
        <v>63748.553138333569</v>
      </c>
      <c r="O285" s="312">
        <f t="shared" si="66"/>
        <v>57900.452950943014</v>
      </c>
      <c r="P285" s="312">
        <f t="shared" si="66"/>
        <v>43252.321590336433</v>
      </c>
      <c r="Q285" s="312">
        <f t="shared" si="66"/>
        <v>55219.360340600775</v>
      </c>
      <c r="R285" s="312">
        <f t="shared" si="66"/>
        <v>61780.615725871503</v>
      </c>
      <c r="S285" s="312">
        <f t="shared" si="66"/>
        <v>33785.19728569164</v>
      </c>
      <c r="T285" s="313">
        <f t="shared" si="66"/>
        <v>40463.167618993255</v>
      </c>
    </row>
    <row r="286" spans="3:20">
      <c r="C286" s="363" t="s">
        <v>440</v>
      </c>
      <c r="F286" t="s">
        <v>517</v>
      </c>
      <c r="G286" s="506">
        <f>G221/G$29</f>
        <v>36902.003811770388</v>
      </c>
      <c r="H286" s="312">
        <f t="shared" ref="H286:T286" si="67">H221/H$29</f>
        <v>38852.140333098192</v>
      </c>
      <c r="I286" s="312">
        <f t="shared" si="67"/>
        <v>39174.446240244702</v>
      </c>
      <c r="J286" s="312">
        <f t="shared" si="67"/>
        <v>36518.203489391795</v>
      </c>
      <c r="K286" s="312">
        <f t="shared" si="67"/>
        <v>33042.67210531592</v>
      </c>
      <c r="L286" s="312">
        <f t="shared" si="67"/>
        <v>31713.603259069027</v>
      </c>
      <c r="M286" s="312">
        <f t="shared" si="67"/>
        <v>35919.360282817004</v>
      </c>
      <c r="N286" s="312">
        <f t="shared" si="67"/>
        <v>36641.253352305954</v>
      </c>
      <c r="O286" s="312">
        <f t="shared" si="67"/>
        <v>35638.217009801469</v>
      </c>
      <c r="P286" s="312">
        <f t="shared" si="67"/>
        <v>29006.204567868677</v>
      </c>
      <c r="Q286" s="312">
        <f t="shared" si="67"/>
        <v>30893.821734387726</v>
      </c>
      <c r="R286" s="312">
        <f t="shared" si="67"/>
        <v>24956.463248604432</v>
      </c>
      <c r="S286" s="312">
        <f t="shared" si="67"/>
        <v>20240.154290939034</v>
      </c>
      <c r="T286" s="313">
        <f t="shared" si="67"/>
        <v>23082.520711564342</v>
      </c>
    </row>
    <row r="287" spans="3:20">
      <c r="C287" s="363" t="s">
        <v>441</v>
      </c>
      <c r="F287" t="s">
        <v>517</v>
      </c>
      <c r="G287" s="506">
        <f>G222/G$29</f>
        <v>23483.09333476298</v>
      </c>
      <c r="H287" s="312">
        <f t="shared" ref="H287:T287" si="68">H222/H$29</f>
        <v>24724.089302880675</v>
      </c>
      <c r="I287" s="312">
        <f t="shared" si="68"/>
        <v>24929.193061973907</v>
      </c>
      <c r="J287" s="312">
        <f t="shared" si="68"/>
        <v>23238.856765976605</v>
      </c>
      <c r="K287" s="312">
        <f t="shared" si="68"/>
        <v>21027.154976110134</v>
      </c>
      <c r="L287" s="312">
        <f t="shared" si="68"/>
        <v>20181.383892134836</v>
      </c>
      <c r="M287" s="312">
        <f t="shared" si="68"/>
        <v>22857.774725429008</v>
      </c>
      <c r="N287" s="312">
        <f t="shared" si="68"/>
        <v>23317.1612241947</v>
      </c>
      <c r="O287" s="312">
        <f t="shared" si="68"/>
        <v>22678.865369873667</v>
      </c>
      <c r="P287" s="312">
        <f t="shared" si="68"/>
        <v>18458.49381591643</v>
      </c>
      <c r="Q287" s="312">
        <f t="shared" si="68"/>
        <v>19659.704740064917</v>
      </c>
      <c r="R287" s="312">
        <f t="shared" si="68"/>
        <v>15881.385703657368</v>
      </c>
      <c r="S287" s="312">
        <f t="shared" si="68"/>
        <v>12880.098185143022</v>
      </c>
      <c r="T287" s="313">
        <f t="shared" si="68"/>
        <v>14688.87681645004</v>
      </c>
    </row>
    <row r="288" spans="3:20">
      <c r="C288" s="363" t="s">
        <v>442</v>
      </c>
      <c r="F288" t="s">
        <v>516</v>
      </c>
      <c r="G288" s="506">
        <f>G223/G$68</f>
        <v>436682.68290632672</v>
      </c>
      <c r="H288" s="312">
        <f t="shared" ref="H288:T288" si="69">H223/H$68</f>
        <v>468730.38480012142</v>
      </c>
      <c r="I288" s="312">
        <f t="shared" si="69"/>
        <v>480240.044290944</v>
      </c>
      <c r="J288" s="312">
        <f t="shared" si="69"/>
        <v>444052.34288465395</v>
      </c>
      <c r="K288" s="312">
        <f t="shared" si="69"/>
        <v>424073.05016228743</v>
      </c>
      <c r="L288" s="312">
        <f t="shared" si="69"/>
        <v>399420.56624709745</v>
      </c>
      <c r="M288" s="312">
        <f t="shared" si="69"/>
        <v>414331.68696530233</v>
      </c>
      <c r="N288" s="312">
        <f t="shared" si="69"/>
        <v>424127.85243045579</v>
      </c>
      <c r="O288" s="312">
        <f t="shared" si="69"/>
        <v>414625.50646063476</v>
      </c>
      <c r="P288" s="312">
        <f t="shared" si="69"/>
        <v>345832.16756627295</v>
      </c>
      <c r="Q288" s="312">
        <f t="shared" si="69"/>
        <v>397326.50181471801</v>
      </c>
      <c r="R288" s="312">
        <f t="shared" si="69"/>
        <v>442359.93759119901</v>
      </c>
      <c r="S288" s="312">
        <f t="shared" si="69"/>
        <v>410950.24868747062</v>
      </c>
      <c r="T288" s="313">
        <f t="shared" si="69"/>
        <v>417985.35201104358</v>
      </c>
    </row>
    <row r="289" spans="3:20">
      <c r="C289" s="388" t="s">
        <v>326</v>
      </c>
      <c r="D289" s="467"/>
      <c r="E289" s="467"/>
      <c r="F289" s="467"/>
      <c r="G289" s="522"/>
      <c r="H289" s="468"/>
      <c r="I289" s="468"/>
      <c r="J289" s="468"/>
      <c r="K289" s="468"/>
      <c r="L289" s="468"/>
      <c r="M289" s="468"/>
      <c r="N289" s="468"/>
      <c r="O289" s="468"/>
      <c r="P289" s="468"/>
      <c r="Q289" s="468"/>
      <c r="R289" s="468"/>
      <c r="S289" s="1098"/>
      <c r="T289" s="306"/>
    </row>
    <row r="290" spans="3:20">
      <c r="C290" s="437" t="s">
        <v>343</v>
      </c>
      <c r="F290" s="96" t="s">
        <v>503</v>
      </c>
      <c r="G290" s="523"/>
      <c r="H290" s="323"/>
      <c r="I290" s="323"/>
      <c r="J290" s="323"/>
      <c r="K290" s="323"/>
      <c r="L290" s="323"/>
      <c r="M290" s="323"/>
      <c r="N290" s="323"/>
      <c r="O290" s="323"/>
      <c r="P290" s="323"/>
      <c r="Q290" s="323"/>
      <c r="R290" s="323"/>
      <c r="S290" s="323"/>
      <c r="T290" s="520"/>
    </row>
    <row r="291" spans="3:20">
      <c r="C291" s="71" t="s">
        <v>436</v>
      </c>
      <c r="F291" t="s">
        <v>516</v>
      </c>
      <c r="G291" s="506">
        <f>G226/G$64</f>
        <v>3022394.9383292771</v>
      </c>
      <c r="H291" s="312">
        <f t="shared" ref="H291:T291" si="70">H226/H$64</f>
        <v>2986637.7400368974</v>
      </c>
      <c r="I291" s="312">
        <f t="shared" si="70"/>
        <v>3110878.1506294031</v>
      </c>
      <c r="J291" s="312">
        <f t="shared" si="70"/>
        <v>3114646.5296759116</v>
      </c>
      <c r="K291" s="312">
        <f t="shared" si="70"/>
        <v>3089840.608679649</v>
      </c>
      <c r="L291" s="312">
        <f t="shared" si="70"/>
        <v>4115631.280092299</v>
      </c>
      <c r="M291" s="312">
        <f t="shared" si="70"/>
        <v>3650354.2798334258</v>
      </c>
      <c r="N291" s="312">
        <f t="shared" si="70"/>
        <v>4432558.982370737</v>
      </c>
      <c r="O291" s="312">
        <f t="shared" si="70"/>
        <v>4582059.576161487</v>
      </c>
      <c r="P291" s="312">
        <f t="shared" si="70"/>
        <v>4067199.6625128984</v>
      </c>
      <c r="Q291" s="312">
        <f t="shared" si="70"/>
        <v>3914003.426893224</v>
      </c>
      <c r="R291" s="312">
        <f t="shared" si="70"/>
        <v>4142176.111231335</v>
      </c>
      <c r="S291" s="312">
        <f t="shared" si="70"/>
        <v>4365064.1798529085</v>
      </c>
      <c r="T291" s="313">
        <f t="shared" si="70"/>
        <v>4704768.1076487256</v>
      </c>
    </row>
    <row r="292" spans="3:20">
      <c r="C292" s="71" t="s">
        <v>437</v>
      </c>
      <c r="F292" t="s">
        <v>516</v>
      </c>
      <c r="G292" s="506">
        <f>G227/G$68</f>
        <v>820875.2375101397</v>
      </c>
      <c r="H292" s="312">
        <f t="shared" ref="H292:T292" si="71">H227/H$68</f>
        <v>808673.38870413392</v>
      </c>
      <c r="I292" s="312">
        <f t="shared" si="71"/>
        <v>828572.71579226677</v>
      </c>
      <c r="J292" s="312">
        <f t="shared" si="71"/>
        <v>816407.17683257768</v>
      </c>
      <c r="K292" s="312">
        <f t="shared" si="71"/>
        <v>792428.20129526372</v>
      </c>
      <c r="L292" s="312">
        <f t="shared" si="71"/>
        <v>1053947.7205965915</v>
      </c>
      <c r="M292" s="312">
        <f t="shared" si="71"/>
        <v>985533.81392157637</v>
      </c>
      <c r="N292" s="312">
        <f>N227/N$68</f>
        <v>1279029.9486281869</v>
      </c>
      <c r="O292" s="312">
        <f t="shared" si="71"/>
        <v>1325243.8888519348</v>
      </c>
      <c r="P292" s="312">
        <f t="shared" si="71"/>
        <v>1140988.1813331409</v>
      </c>
      <c r="Q292" s="312">
        <f t="shared" si="71"/>
        <v>1092779.8827954608</v>
      </c>
      <c r="R292" s="312">
        <f t="shared" si="71"/>
        <v>1287595.4763525471</v>
      </c>
      <c r="S292" s="312">
        <f t="shared" si="71"/>
        <v>1266033.0014913266</v>
      </c>
      <c r="T292" s="313">
        <f t="shared" si="71"/>
        <v>1329732.513341255</v>
      </c>
    </row>
    <row r="293" spans="3:20">
      <c r="C293" s="71" t="s">
        <v>416</v>
      </c>
      <c r="G293" s="506"/>
      <c r="H293" s="312"/>
      <c r="I293" s="312"/>
      <c r="J293" s="312"/>
      <c r="K293" s="312"/>
      <c r="L293" s="312"/>
      <c r="M293" s="312"/>
      <c r="N293" s="312"/>
      <c r="O293" s="312"/>
      <c r="P293" s="312"/>
      <c r="Q293" s="312"/>
      <c r="R293" s="312"/>
      <c r="S293" s="312"/>
      <c r="T293" s="31"/>
    </row>
    <row r="294" spans="3:20">
      <c r="C294" s="363" t="s">
        <v>438</v>
      </c>
      <c r="F294" t="s">
        <v>516</v>
      </c>
      <c r="G294" s="506">
        <f>G229/G$69</f>
        <v>175844.62744643429</v>
      </c>
      <c r="H294" s="312">
        <f t="shared" ref="H294:T294" si="72">H229/H$69</f>
        <v>175799.6092502125</v>
      </c>
      <c r="I294" s="312">
        <f t="shared" si="72"/>
        <v>178983.8846936156</v>
      </c>
      <c r="J294" s="312">
        <f t="shared" si="72"/>
        <v>173947.83200450861</v>
      </c>
      <c r="K294" s="312">
        <f t="shared" si="72"/>
        <v>167966.18167108737</v>
      </c>
      <c r="L294" s="312">
        <f t="shared" si="72"/>
        <v>238675.84128398175</v>
      </c>
      <c r="M294" s="312">
        <f t="shared" si="72"/>
        <v>225548.46537009312</v>
      </c>
      <c r="N294" s="312">
        <f t="shared" si="72"/>
        <v>288669.2422636578</v>
      </c>
      <c r="O294" s="312">
        <f t="shared" si="72"/>
        <v>286763.37299238041</v>
      </c>
      <c r="P294" s="312">
        <f t="shared" si="72"/>
        <v>225651.31415907209</v>
      </c>
      <c r="Q294" s="312">
        <f t="shared" si="72"/>
        <v>244031.88700257786</v>
      </c>
      <c r="R294" s="312">
        <f t="shared" si="72"/>
        <v>337355.58418995736</v>
      </c>
      <c r="S294" s="312">
        <f t="shared" si="72"/>
        <v>297374.41774637828</v>
      </c>
      <c r="T294" s="313">
        <f t="shared" si="72"/>
        <v>300563.77233076608</v>
      </c>
    </row>
    <row r="295" spans="3:20">
      <c r="C295" s="363" t="s">
        <v>439</v>
      </c>
      <c r="F295" t="s">
        <v>517</v>
      </c>
      <c r="G295" s="506">
        <f>G230/G$13</f>
        <v>3786.0800352516417</v>
      </c>
      <c r="H295" s="312">
        <f t="shared" ref="H295:T295" si="73">H230/H$13</f>
        <v>3789.0539779591845</v>
      </c>
      <c r="I295" s="312">
        <f t="shared" si="73"/>
        <v>3564.5581307993075</v>
      </c>
      <c r="J295" s="312">
        <f t="shared" si="73"/>
        <v>3232.6318880508484</v>
      </c>
      <c r="K295" s="312">
        <f t="shared" si="73"/>
        <v>2767.9870471000004</v>
      </c>
      <c r="L295" s="312">
        <f t="shared" si="73"/>
        <v>3757.9998079287097</v>
      </c>
      <c r="M295" s="312">
        <f t="shared" si="73"/>
        <v>3584.0985396422766</v>
      </c>
      <c r="N295" s="312">
        <f t="shared" si="73"/>
        <v>5034.9788112376127</v>
      </c>
      <c r="O295" s="312">
        <f t="shared" si="73"/>
        <v>4846.9121827323343</v>
      </c>
      <c r="P295" s="312">
        <f t="shared" si="73"/>
        <v>3737.3913608081666</v>
      </c>
      <c r="Q295" s="312">
        <f t="shared" si="73"/>
        <v>3977.5891657521752</v>
      </c>
      <c r="R295" s="312">
        <f t="shared" si="73"/>
        <v>4709.7654686278029</v>
      </c>
      <c r="S295" s="312">
        <f t="shared" si="73"/>
        <v>2725.9986283482144</v>
      </c>
      <c r="T295" s="313">
        <f t="shared" si="73"/>
        <v>3371.370622745098</v>
      </c>
    </row>
    <row r="296" spans="3:20">
      <c r="C296" s="363" t="s">
        <v>440</v>
      </c>
      <c r="F296" t="s">
        <v>517</v>
      </c>
      <c r="G296" s="506">
        <f>G231/G$29</f>
        <v>1816.7891568409382</v>
      </c>
      <c r="H296" s="312">
        <f t="shared" ref="H296:T296" si="74">H231/H$29</f>
        <v>1755.530537305023</v>
      </c>
      <c r="I296" s="312">
        <f t="shared" si="74"/>
        <v>1770.1844389858447</v>
      </c>
      <c r="J296" s="312">
        <f t="shared" si="74"/>
        <v>1758.4314681133549</v>
      </c>
      <c r="K296" s="312">
        <f t="shared" si="74"/>
        <v>1617.1034534207895</v>
      </c>
      <c r="L296" s="312">
        <f t="shared" si="74"/>
        <v>2191.682447290229</v>
      </c>
      <c r="M296" s="312">
        <f t="shared" si="74"/>
        <v>2237.6665484090754</v>
      </c>
      <c r="N296" s="312">
        <f t="shared" si="74"/>
        <v>2893.9940620411116</v>
      </c>
      <c r="O296" s="312">
        <f t="shared" si="74"/>
        <v>2983.3153177923832</v>
      </c>
      <c r="P296" s="312">
        <f t="shared" si="74"/>
        <v>2506.3981394702178</v>
      </c>
      <c r="Q296" s="312">
        <f t="shared" si="74"/>
        <v>2225.3595453011499</v>
      </c>
      <c r="R296" s="312">
        <f t="shared" si="74"/>
        <v>1902.5237519304103</v>
      </c>
      <c r="S296" s="312">
        <f t="shared" si="74"/>
        <v>1633.1008035292136</v>
      </c>
      <c r="T296" s="313">
        <f t="shared" si="74"/>
        <v>1923.2239294420692</v>
      </c>
    </row>
    <row r="297" spans="3:20">
      <c r="C297" s="363" t="s">
        <v>441</v>
      </c>
      <c r="F297" t="s">
        <v>517</v>
      </c>
      <c r="G297" s="506">
        <f>G232/G$29</f>
        <v>1156.1385543533243</v>
      </c>
      <c r="H297" s="312">
        <f t="shared" ref="H297:T297" si="75">H232/H$29</f>
        <v>1117.155796466833</v>
      </c>
      <c r="I297" s="312">
        <f t="shared" si="75"/>
        <v>1126.481006627356</v>
      </c>
      <c r="J297" s="312">
        <f t="shared" si="75"/>
        <v>1119.0018433448622</v>
      </c>
      <c r="K297" s="312">
        <f t="shared" si="75"/>
        <v>1029.065833995048</v>
      </c>
      <c r="L297" s="312">
        <f t="shared" si="75"/>
        <v>1394.7070119119642</v>
      </c>
      <c r="M297" s="312">
        <f t="shared" si="75"/>
        <v>1423.9696217148664</v>
      </c>
      <c r="N297" s="312">
        <f t="shared" si="75"/>
        <v>1841.6325849352531</v>
      </c>
      <c r="O297" s="312">
        <f t="shared" si="75"/>
        <v>1898.4733840496988</v>
      </c>
      <c r="P297" s="312">
        <f t="shared" si="75"/>
        <v>1594.9806342083209</v>
      </c>
      <c r="Q297" s="312">
        <f t="shared" si="75"/>
        <v>1416.1378924643684</v>
      </c>
      <c r="R297" s="312">
        <f t="shared" si="75"/>
        <v>1210.696933046625</v>
      </c>
      <c r="S297" s="312">
        <f t="shared" si="75"/>
        <v>1039.2459658822272</v>
      </c>
      <c r="T297" s="313">
        <f t="shared" si="75"/>
        <v>1223.8697732813171</v>
      </c>
    </row>
    <row r="298" spans="3:20">
      <c r="C298" s="438" t="s">
        <v>442</v>
      </c>
      <c r="F298" t="s">
        <v>516</v>
      </c>
      <c r="G298" s="506">
        <f>G233/G$68</f>
        <v>21499.113363360801</v>
      </c>
      <c r="H298" s="312">
        <f t="shared" ref="H298:T298" si="76">H233/H$68</f>
        <v>21179.541132727325</v>
      </c>
      <c r="I298" s="312">
        <f t="shared" si="76"/>
        <v>21700.713985035563</v>
      </c>
      <c r="J298" s="312">
        <f t="shared" si="76"/>
        <v>21382.092726567509</v>
      </c>
      <c r="K298" s="312">
        <f t="shared" si="76"/>
        <v>20754.07193868548</v>
      </c>
      <c r="L298" s="312">
        <f t="shared" si="76"/>
        <v>27603.392682291684</v>
      </c>
      <c r="M298" s="312">
        <f t="shared" si="76"/>
        <v>25811.599888422243</v>
      </c>
      <c r="N298" s="312">
        <f t="shared" si="76"/>
        <v>33498.403416452515</v>
      </c>
      <c r="O298" s="312">
        <f t="shared" si="76"/>
        <v>34708.768517550678</v>
      </c>
      <c r="P298" s="312">
        <f t="shared" si="76"/>
        <v>29883.023796820362</v>
      </c>
      <c r="Q298" s="312">
        <f t="shared" si="76"/>
        <v>28620.425501785885</v>
      </c>
      <c r="R298" s="312">
        <f t="shared" si="76"/>
        <v>33722.738666376237</v>
      </c>
      <c r="S298" s="312">
        <f t="shared" si="76"/>
        <v>33158.007181915702</v>
      </c>
      <c r="T298" s="313">
        <f t="shared" si="76"/>
        <v>34826.327730366211</v>
      </c>
    </row>
    <row r="299" spans="3:20">
      <c r="C299" s="439" t="s">
        <v>241</v>
      </c>
      <c r="D299" s="467"/>
      <c r="E299" s="467"/>
      <c r="F299" s="467"/>
      <c r="G299" s="522">
        <v>603616680.43349504</v>
      </c>
      <c r="H299" s="468">
        <v>680012244.95626426</v>
      </c>
      <c r="I299" s="468">
        <v>669536227.42020941</v>
      </c>
      <c r="J299" s="468">
        <v>637270744.10764241</v>
      </c>
      <c r="K299" s="468">
        <v>559496882.56512475</v>
      </c>
      <c r="L299" s="468">
        <v>520568759.72307551</v>
      </c>
      <c r="M299" s="468">
        <v>570365678.65218472</v>
      </c>
      <c r="N299" s="468">
        <v>652918424.9038136</v>
      </c>
      <c r="O299" s="468">
        <v>649883243.67373967</v>
      </c>
      <c r="P299" s="468">
        <v>518390621.48287261</v>
      </c>
      <c r="Q299" s="468">
        <v>630750705.63018632</v>
      </c>
      <c r="R299" s="468">
        <v>813417746.38822508</v>
      </c>
      <c r="S299" s="468">
        <v>792849321.86289334</v>
      </c>
      <c r="T299" s="31"/>
    </row>
    <row r="300" spans="3:20">
      <c r="C300" s="586" t="s">
        <v>343</v>
      </c>
      <c r="D300" s="70"/>
      <c r="E300" s="70"/>
      <c r="F300" s="475" t="s">
        <v>503</v>
      </c>
      <c r="G300" s="71"/>
      <c r="T300" s="31"/>
    </row>
    <row r="301" spans="3:20">
      <c r="C301" s="71" t="s">
        <v>508</v>
      </c>
      <c r="F301" t="s">
        <v>516</v>
      </c>
      <c r="G301" s="509">
        <f>G291+G281+G261+G251+G271</f>
        <v>347520626.89466453</v>
      </c>
      <c r="H301" s="322">
        <f t="shared" ref="H301:T301" si="77">H291+H281+H261+H251+H271</f>
        <v>363869814.31034577</v>
      </c>
      <c r="I301" s="322">
        <f t="shared" si="77"/>
        <v>371040981.73804593</v>
      </c>
      <c r="J301" s="322">
        <f t="shared" si="77"/>
        <v>371396642.36183143</v>
      </c>
      <c r="K301" s="322">
        <f t="shared" si="77"/>
        <v>364757716.29479218</v>
      </c>
      <c r="L301" s="322">
        <f t="shared" si="77"/>
        <v>352656671.35890073</v>
      </c>
      <c r="M301" s="322">
        <f t="shared" si="77"/>
        <v>345765572.16570616</v>
      </c>
      <c r="N301" s="322">
        <f t="shared" si="77"/>
        <v>339157742.12047529</v>
      </c>
      <c r="O301" s="322">
        <f t="shared" si="77"/>
        <v>337188095.97610402</v>
      </c>
      <c r="P301" s="322">
        <f t="shared" si="77"/>
        <v>307490321.31864554</v>
      </c>
      <c r="Q301" s="322">
        <f t="shared" si="77"/>
        <v>329200918.28829527</v>
      </c>
      <c r="R301" s="322">
        <f t="shared" si="77"/>
        <v>328516618.92209846</v>
      </c>
      <c r="S301" s="322">
        <f t="shared" si="77"/>
        <v>330215536.78251028</v>
      </c>
      <c r="T301" s="425">
        <f t="shared" si="77"/>
        <v>337682858.8738113</v>
      </c>
    </row>
    <row r="302" spans="3:20">
      <c r="C302" s="71" t="s">
        <v>509</v>
      </c>
      <c r="F302" t="s">
        <v>516</v>
      </c>
      <c r="G302" s="509">
        <f t="shared" ref="G302:T302" si="78">G292+G282+G262+G252+G272</f>
        <v>94385771.205507278</v>
      </c>
      <c r="H302" s="322">
        <f t="shared" si="78"/>
        <v>98522774.235704944</v>
      </c>
      <c r="I302" s="322">
        <f t="shared" si="78"/>
        <v>98825610.976347759</v>
      </c>
      <c r="J302" s="322">
        <f t="shared" si="78"/>
        <v>97350014.323221236</v>
      </c>
      <c r="K302" s="322">
        <f t="shared" si="78"/>
        <v>93546670.407560185</v>
      </c>
      <c r="L302" s="322">
        <f t="shared" si="78"/>
        <v>90309765.291598052</v>
      </c>
      <c r="M302" s="322">
        <f t="shared" si="78"/>
        <v>93350846.777204931</v>
      </c>
      <c r="N302" s="322">
        <f t="shared" si="78"/>
        <v>97865118.36762765</v>
      </c>
      <c r="O302" s="322">
        <f t="shared" si="78"/>
        <v>97523058.388580605</v>
      </c>
      <c r="P302" s="322">
        <f t="shared" si="78"/>
        <v>86261519.377226248</v>
      </c>
      <c r="Q302" s="322">
        <f t="shared" si="78"/>
        <v>91912065.89943935</v>
      </c>
      <c r="R302" s="322">
        <f t="shared" si="78"/>
        <v>102119393.5438405</v>
      </c>
      <c r="S302" s="322">
        <f t="shared" si="78"/>
        <v>95774941.660976633</v>
      </c>
      <c r="T302" s="425">
        <f t="shared" si="78"/>
        <v>95441022.037309602</v>
      </c>
    </row>
    <row r="303" spans="3:20">
      <c r="C303" s="71" t="s">
        <v>416</v>
      </c>
      <c r="G303" s="509">
        <f t="shared" ref="G303:S303" si="79">G293+G283+G263+G253+G273</f>
        <v>0</v>
      </c>
      <c r="H303" s="322">
        <f t="shared" si="79"/>
        <v>0</v>
      </c>
      <c r="I303" s="322">
        <f t="shared" si="79"/>
        <v>0</v>
      </c>
      <c r="J303" s="322">
        <f t="shared" si="79"/>
        <v>0</v>
      </c>
      <c r="K303" s="322">
        <f t="shared" si="79"/>
        <v>0</v>
      </c>
      <c r="L303" s="322">
        <f t="shared" si="79"/>
        <v>0</v>
      </c>
      <c r="M303" s="322">
        <f t="shared" si="79"/>
        <v>0</v>
      </c>
      <c r="N303" s="322">
        <f t="shared" si="79"/>
        <v>0</v>
      </c>
      <c r="O303" s="322">
        <f t="shared" si="79"/>
        <v>0</v>
      </c>
      <c r="P303" s="322">
        <f t="shared" si="79"/>
        <v>0</v>
      </c>
      <c r="Q303" s="322">
        <f t="shared" si="79"/>
        <v>0</v>
      </c>
      <c r="R303" s="322">
        <f t="shared" si="79"/>
        <v>0</v>
      </c>
      <c r="S303" s="322">
        <f t="shared" si="79"/>
        <v>0</v>
      </c>
      <c r="T303" s="31"/>
    </row>
    <row r="304" spans="3:20">
      <c r="C304" s="363" t="s">
        <v>510</v>
      </c>
      <c r="F304" t="s">
        <v>516</v>
      </c>
      <c r="G304" s="509">
        <f t="shared" ref="G304:S304" si="80">G294+G284+G264+G254+G274</f>
        <v>20218944.384556122</v>
      </c>
      <c r="H304" s="322">
        <f t="shared" si="80"/>
        <v>21418121.895464934</v>
      </c>
      <c r="I304" s="322">
        <f t="shared" si="80"/>
        <v>21347784.476409648</v>
      </c>
      <c r="J304" s="322">
        <f t="shared" si="80"/>
        <v>20741885.198548239</v>
      </c>
      <c r="K304" s="322">
        <f t="shared" si="80"/>
        <v>19828518.231327992</v>
      </c>
      <c r="L304" s="322">
        <f t="shared" si="80"/>
        <v>20451450.09178438</v>
      </c>
      <c r="M304" s="322">
        <f t="shared" si="80"/>
        <v>21364198.705487274</v>
      </c>
      <c r="N304" s="322">
        <f t="shared" si="80"/>
        <v>22087559.0861076</v>
      </c>
      <c r="O304" s="322">
        <f t="shared" si="80"/>
        <v>21102561.87807766</v>
      </c>
      <c r="P304" s="322">
        <f t="shared" si="80"/>
        <v>17059795.646687817</v>
      </c>
      <c r="Q304" s="322">
        <f t="shared" si="80"/>
        <v>20525153.539950069</v>
      </c>
      <c r="R304" s="322">
        <f t="shared" si="80"/>
        <v>26755722.817306496</v>
      </c>
      <c r="S304" s="322">
        <f t="shared" si="80"/>
        <v>22496267.852083623</v>
      </c>
      <c r="T304" s="31"/>
    </row>
    <row r="305" spans="3:20">
      <c r="C305" s="363" t="s">
        <v>511</v>
      </c>
      <c r="F305" t="s">
        <v>517</v>
      </c>
      <c r="G305" s="509">
        <f t="shared" ref="G305:S305" si="81">G295+G285+G265+G255+G275</f>
        <v>435330.56869508291</v>
      </c>
      <c r="H305" s="322">
        <f t="shared" si="81"/>
        <v>461630.26365388813</v>
      </c>
      <c r="I305" s="322">
        <f t="shared" si="81"/>
        <v>425152.34743171046</v>
      </c>
      <c r="J305" s="322">
        <f t="shared" si="81"/>
        <v>385465.45098290744</v>
      </c>
      <c r="K305" s="322">
        <f t="shared" si="81"/>
        <v>326762.6916409785</v>
      </c>
      <c r="L305" s="322">
        <f t="shared" si="81"/>
        <v>322012.25353739795</v>
      </c>
      <c r="M305" s="322">
        <f t="shared" si="81"/>
        <v>339489.75558455486</v>
      </c>
      <c r="N305" s="322">
        <f t="shared" si="81"/>
        <v>385251.96213642985</v>
      </c>
      <c r="O305" s="322">
        <f t="shared" si="81"/>
        <v>356678.27165791951</v>
      </c>
      <c r="P305" s="322">
        <f t="shared" si="81"/>
        <v>282556.00063617202</v>
      </c>
      <c r="Q305" s="322">
        <f t="shared" si="81"/>
        <v>334549.01877246419</v>
      </c>
      <c r="R305" s="322">
        <f t="shared" si="81"/>
        <v>373532.21739519783</v>
      </c>
      <c r="S305" s="322">
        <f t="shared" si="81"/>
        <v>206220.81674838642</v>
      </c>
      <c r="T305" s="31"/>
    </row>
    <row r="306" spans="3:20">
      <c r="C306" s="363" t="s">
        <v>512</v>
      </c>
      <c r="F306" t="s">
        <v>517</v>
      </c>
      <c r="G306" s="509">
        <f t="shared" ref="G306:S306" si="82">G296+G286+G266+G256+G276</f>
        <v>208897.81765906548</v>
      </c>
      <c r="H306" s="322">
        <f t="shared" si="82"/>
        <v>213880.83397668065</v>
      </c>
      <c r="I306" s="322">
        <f t="shared" si="82"/>
        <v>211133.62217862235</v>
      </c>
      <c r="J306" s="322">
        <f t="shared" si="82"/>
        <v>209678.86302932753</v>
      </c>
      <c r="K306" s="322">
        <f t="shared" si="82"/>
        <v>190900.12637714803</v>
      </c>
      <c r="L306" s="322">
        <f t="shared" si="82"/>
        <v>187798.99945744604</v>
      </c>
      <c r="M306" s="322">
        <f t="shared" si="82"/>
        <v>211954.23652468904</v>
      </c>
      <c r="N306" s="322">
        <f t="shared" si="82"/>
        <v>221434.27660988813</v>
      </c>
      <c r="O306" s="322">
        <f t="shared" si="82"/>
        <v>219538.48372819732</v>
      </c>
      <c r="P306" s="322">
        <f t="shared" si="82"/>
        <v>189489.87834592408</v>
      </c>
      <c r="Q306" s="322">
        <f t="shared" si="82"/>
        <v>187171.63117464675</v>
      </c>
      <c r="R306" s="322">
        <f t="shared" si="82"/>
        <v>150889.44883547415</v>
      </c>
      <c r="S306" s="322">
        <f t="shared" si="82"/>
        <v>123543.48899298895</v>
      </c>
      <c r="T306" s="31"/>
    </row>
    <row r="307" spans="3:20">
      <c r="C307" s="363" t="s">
        <v>513</v>
      </c>
      <c r="F307" t="s">
        <v>517</v>
      </c>
      <c r="G307" s="509">
        <f t="shared" ref="G307:S307" si="83">G297+G287+G267+G257+G277</f>
        <v>132934.97487395082</v>
      </c>
      <c r="H307" s="322">
        <f t="shared" si="83"/>
        <v>136105.98525788772</v>
      </c>
      <c r="I307" s="322">
        <f t="shared" si="83"/>
        <v>134357.75956821424</v>
      </c>
      <c r="J307" s="322">
        <f t="shared" si="83"/>
        <v>133432.00374593574</v>
      </c>
      <c r="K307" s="322">
        <f t="shared" si="83"/>
        <v>121481.89860363968</v>
      </c>
      <c r="L307" s="322">
        <f t="shared" si="83"/>
        <v>119508.45420019295</v>
      </c>
      <c r="M307" s="322">
        <f t="shared" si="83"/>
        <v>134879.9686975294</v>
      </c>
      <c r="N307" s="322">
        <f t="shared" si="83"/>
        <v>140912.72147901973</v>
      </c>
      <c r="O307" s="322">
        <f t="shared" si="83"/>
        <v>139706.3078270347</v>
      </c>
      <c r="P307" s="322">
        <f t="shared" si="83"/>
        <v>120584.46803831533</v>
      </c>
      <c r="Q307" s="322">
        <f t="shared" si="83"/>
        <v>119109.21983841158</v>
      </c>
      <c r="R307" s="322">
        <f t="shared" si="83"/>
        <v>96020.558349847182</v>
      </c>
      <c r="S307" s="322">
        <f t="shared" si="83"/>
        <v>78618.583904629355</v>
      </c>
      <c r="T307" s="31"/>
    </row>
    <row r="308" spans="3:20">
      <c r="C308" s="364" t="s">
        <v>514</v>
      </c>
      <c r="D308" s="92"/>
      <c r="E308" s="92"/>
      <c r="F308" s="92" t="s">
        <v>516</v>
      </c>
      <c r="G308" s="428">
        <f>G298+G288+G268+G258+G278</f>
        <v>2472008.2934775716</v>
      </c>
      <c r="H308" s="429">
        <f t="shared" ref="H308:S308" si="84">H298+H288+H268+H258+H278</f>
        <v>2580358.3728398923</v>
      </c>
      <c r="I308" s="429">
        <f t="shared" si="84"/>
        <v>2588289.8112852983</v>
      </c>
      <c r="J308" s="429">
        <f t="shared" si="84"/>
        <v>2549643.2322748424</v>
      </c>
      <c r="K308" s="429">
        <f t="shared" si="84"/>
        <v>2450031.8440075289</v>
      </c>
      <c r="L308" s="429">
        <f t="shared" si="84"/>
        <v>2365255.7576370919</v>
      </c>
      <c r="M308" s="429">
        <f t="shared" si="84"/>
        <v>2444903.1298791771</v>
      </c>
      <c r="N308" s="429">
        <f t="shared" si="84"/>
        <v>2563134.0524854865</v>
      </c>
      <c r="O308" s="429">
        <f t="shared" si="84"/>
        <v>2554175.3387485398</v>
      </c>
      <c r="P308" s="429">
        <f t="shared" si="84"/>
        <v>2259230.2694035452</v>
      </c>
      <c r="Q308" s="429">
        <f t="shared" si="84"/>
        <v>2407220.7735567447</v>
      </c>
      <c r="R308" s="429">
        <f t="shared" si="84"/>
        <v>2674555.5451958231</v>
      </c>
      <c r="S308" s="429">
        <f t="shared" si="84"/>
        <v>2508391.3292160551</v>
      </c>
      <c r="T308" s="33"/>
    </row>
    <row r="310" spans="3:20">
      <c r="C310" s="15" t="s">
        <v>518</v>
      </c>
    </row>
    <row r="311" spans="3:20">
      <c r="G311" s="344">
        <v>2011</v>
      </c>
      <c r="H311" s="345">
        <v>2012</v>
      </c>
      <c r="I311" s="345">
        <v>2013</v>
      </c>
      <c r="J311" s="345">
        <v>2014</v>
      </c>
      <c r="K311" s="345">
        <v>2015</v>
      </c>
      <c r="L311" s="345">
        <v>2016</v>
      </c>
      <c r="M311" s="345">
        <v>2017</v>
      </c>
      <c r="N311" s="345">
        <v>2018</v>
      </c>
      <c r="O311" s="345">
        <v>2019</v>
      </c>
      <c r="P311" s="345">
        <v>2020</v>
      </c>
      <c r="Q311" s="345">
        <v>2021</v>
      </c>
      <c r="R311" s="345">
        <v>2022</v>
      </c>
      <c r="S311" s="345">
        <v>2023</v>
      </c>
      <c r="T311" s="346">
        <v>2024</v>
      </c>
    </row>
    <row r="312" spans="3:20">
      <c r="C312" s="1480" t="s">
        <v>337</v>
      </c>
      <c r="D312" s="504"/>
      <c r="E312" s="504"/>
      <c r="F312" s="504"/>
      <c r="G312" s="979"/>
      <c r="H312" s="980"/>
      <c r="I312" s="980"/>
      <c r="J312" s="980"/>
      <c r="K312" s="980"/>
      <c r="L312" s="980"/>
      <c r="M312" s="980"/>
      <c r="N312" s="980"/>
      <c r="O312" s="980"/>
      <c r="P312" s="980"/>
      <c r="Q312" s="980"/>
      <c r="R312" s="980"/>
      <c r="S312" s="980"/>
      <c r="T312" s="981"/>
    </row>
    <row r="313" spans="3:20">
      <c r="C313" s="497" t="s">
        <v>341</v>
      </c>
      <c r="D313" s="498"/>
      <c r="E313" s="96"/>
      <c r="F313" s="96"/>
      <c r="G313" s="982"/>
      <c r="H313" s="1477"/>
      <c r="I313" s="1477"/>
      <c r="J313" s="1477"/>
      <c r="K313" s="1477"/>
      <c r="L313" s="1477"/>
      <c r="T313" s="31"/>
    </row>
    <row r="314" spans="3:20">
      <c r="C314" s="187" t="s">
        <v>420</v>
      </c>
      <c r="D314" s="498"/>
      <c r="E314" s="96"/>
      <c r="F314" s="96"/>
      <c r="G314" s="509">
        <f>G92</f>
        <v>1150715944.4922118</v>
      </c>
      <c r="H314" s="322">
        <f t="shared" ref="H314:M314" si="85">$M$140*H13</f>
        <v>1034850960.7055274</v>
      </c>
      <c r="I314" s="322">
        <f t="shared" si="85"/>
        <v>1108357469.4436886</v>
      </c>
      <c r="J314" s="322">
        <f t="shared" si="85"/>
        <v>1165133019.1033874</v>
      </c>
      <c r="K314" s="322">
        <f t="shared" si="85"/>
        <v>1206823277.7907026</v>
      </c>
      <c r="L314" s="322">
        <f t="shared" si="85"/>
        <v>1138802329.4061358</v>
      </c>
      <c r="M314" s="322">
        <f t="shared" si="85"/>
        <v>1180766866.1111307</v>
      </c>
      <c r="N314" s="322">
        <f>$M$140*N13</f>
        <v>1190092318.7122405</v>
      </c>
      <c r="O314" s="322">
        <f t="shared" ref="O314:T314" si="86">$M$140*O13</f>
        <v>1280878342.5642231</v>
      </c>
      <c r="P314" s="322">
        <f t="shared" si="86"/>
        <v>1289655239.1299736</v>
      </c>
      <c r="Q314" s="322">
        <f t="shared" si="86"/>
        <v>1323665713.322257</v>
      </c>
      <c r="R314" s="322">
        <f t="shared" si="86"/>
        <v>1529099948.5643561</v>
      </c>
      <c r="S314" s="322">
        <f t="shared" si="86"/>
        <v>2703284142.2511744</v>
      </c>
      <c r="T314" s="425">
        <f t="shared" si="86"/>
        <v>2224120445.3647289</v>
      </c>
    </row>
    <row r="315" spans="3:20">
      <c r="C315" s="187" t="s">
        <v>193</v>
      </c>
      <c r="D315" s="498"/>
      <c r="E315" s="498"/>
      <c r="F315" s="96"/>
      <c r="G315" s="509">
        <f>G93</f>
        <v>565263972.73301637</v>
      </c>
      <c r="H315" s="1477"/>
      <c r="I315" s="1477"/>
      <c r="J315" s="1477"/>
      <c r="K315" s="1477"/>
      <c r="L315" s="1477"/>
      <c r="M315" s="322">
        <f>M93</f>
        <v>580025828.96687138</v>
      </c>
      <c r="T315" s="31"/>
    </row>
    <row r="316" spans="3:20">
      <c r="C316" s="187" t="s">
        <v>421</v>
      </c>
      <c r="D316" s="498"/>
      <c r="E316" s="498"/>
      <c r="F316" s="96"/>
      <c r="G316" s="509">
        <f>G94</f>
        <v>121127994.15707493</v>
      </c>
      <c r="H316" s="1477"/>
      <c r="I316" s="1477"/>
      <c r="J316" s="1477"/>
      <c r="K316" s="1477"/>
      <c r="L316" s="1477"/>
      <c r="M316" s="322">
        <f>M94</f>
        <v>124291249.06432956</v>
      </c>
      <c r="T316" s="31"/>
    </row>
    <row r="317" spans="3:20">
      <c r="C317" s="472" t="s">
        <v>345</v>
      </c>
      <c r="D317" s="467"/>
      <c r="E317" s="467"/>
      <c r="F317" s="467"/>
      <c r="G317" s="983"/>
      <c r="H317" s="1462"/>
      <c r="I317" s="1462"/>
      <c r="J317" s="1462"/>
      <c r="K317" s="1462"/>
      <c r="L317" s="1462"/>
      <c r="M317" s="1462"/>
      <c r="N317" s="1462"/>
      <c r="O317" s="1462"/>
      <c r="P317" s="1462"/>
      <c r="Q317" s="1462"/>
      <c r="R317" s="1462"/>
      <c r="S317" s="1462"/>
      <c r="T317" s="978"/>
    </row>
    <row r="318" spans="3:20">
      <c r="C318" s="497" t="s">
        <v>341</v>
      </c>
      <c r="D318" s="498"/>
      <c r="E318" s="96"/>
      <c r="F318" s="96"/>
      <c r="G318" s="982"/>
      <c r="H318" s="1477"/>
      <c r="I318" s="1477"/>
      <c r="J318" s="1477"/>
      <c r="K318" s="1477"/>
      <c r="L318" s="1477"/>
      <c r="T318" s="31"/>
    </row>
    <row r="319" spans="3:20">
      <c r="C319" s="187" t="s">
        <v>420</v>
      </c>
      <c r="D319" s="498"/>
      <c r="E319" s="96"/>
      <c r="F319" s="96"/>
      <c r="G319" s="509">
        <f>G99</f>
        <v>148895376.13316697</v>
      </c>
      <c r="H319" s="322">
        <f t="shared" ref="H319:M319" si="87">$M$147*H13</f>
        <v>196977170.79461089</v>
      </c>
      <c r="I319" s="322">
        <f t="shared" si="87"/>
        <v>210968658.14498347</v>
      </c>
      <c r="J319" s="322">
        <f t="shared" si="87"/>
        <v>221775515.91187569</v>
      </c>
      <c r="K319" s="322">
        <f t="shared" si="87"/>
        <v>229710986.34940046</v>
      </c>
      <c r="L319" s="322">
        <f t="shared" si="87"/>
        <v>216763639.84607062</v>
      </c>
      <c r="M319" s="322">
        <f t="shared" si="87"/>
        <v>224751317.32594749</v>
      </c>
      <c r="N319" s="322">
        <f>$M$147*N13</f>
        <v>226526356.76592013</v>
      </c>
      <c r="O319" s="322">
        <f t="shared" ref="O319:T319" si="88">$M$147*O13</f>
        <v>243806887.78447732</v>
      </c>
      <c r="P319" s="322">
        <f t="shared" si="88"/>
        <v>245477513.13974571</v>
      </c>
      <c r="Q319" s="322">
        <f t="shared" si="88"/>
        <v>251951186.39141062</v>
      </c>
      <c r="R319" s="322">
        <f t="shared" si="88"/>
        <v>291054261.11316079</v>
      </c>
      <c r="S319" s="322">
        <f t="shared" si="88"/>
        <v>514552609.42265713</v>
      </c>
      <c r="T319" s="425">
        <f t="shared" si="88"/>
        <v>423346906.4334746</v>
      </c>
    </row>
    <row r="320" spans="3:20">
      <c r="C320" s="187" t="s">
        <v>193</v>
      </c>
      <c r="D320" s="498"/>
      <c r="E320" s="96"/>
      <c r="F320" s="96"/>
      <c r="G320" s="509">
        <f>G100</f>
        <v>73141588.27594167</v>
      </c>
      <c r="H320" s="1477"/>
      <c r="I320" s="1477"/>
      <c r="J320" s="1477"/>
      <c r="K320" s="1477"/>
      <c r="L320" s="1477"/>
      <c r="M320" s="322">
        <f>M100</f>
        <v>110404155.87941281</v>
      </c>
      <c r="T320" s="31"/>
    </row>
    <row r="321" spans="3:20">
      <c r="C321" s="187" t="s">
        <v>421</v>
      </c>
      <c r="D321" s="498"/>
      <c r="E321" s="96"/>
      <c r="F321" s="96"/>
      <c r="G321" s="509">
        <f>G101</f>
        <v>15673197.487701785</v>
      </c>
      <c r="H321" s="1477"/>
      <c r="I321" s="1477"/>
      <c r="J321" s="1477"/>
      <c r="K321" s="1477"/>
      <c r="L321" s="1477"/>
      <c r="M321" s="322">
        <f>M101</f>
        <v>23658033.402731314</v>
      </c>
      <c r="T321" s="31"/>
    </row>
    <row r="322" spans="3:20">
      <c r="C322" s="472" t="s">
        <v>346</v>
      </c>
      <c r="D322" s="467"/>
      <c r="E322" s="467"/>
      <c r="F322" s="467"/>
      <c r="G322" s="983"/>
      <c r="H322" s="1462"/>
      <c r="I322" s="1462"/>
      <c r="J322" s="1462"/>
      <c r="K322" s="1462"/>
      <c r="L322" s="1462"/>
      <c r="M322" s="1462"/>
      <c r="N322" s="1462"/>
      <c r="O322" s="1462"/>
      <c r="P322" s="1462"/>
      <c r="Q322" s="1462"/>
      <c r="R322" s="1462"/>
      <c r="S322" s="1462"/>
      <c r="T322" s="978"/>
    </row>
    <row r="323" spans="3:20">
      <c r="C323" s="497" t="s">
        <v>341</v>
      </c>
      <c r="D323" s="498"/>
      <c r="E323" s="96"/>
      <c r="F323" s="96"/>
      <c r="G323" s="982"/>
      <c r="H323" s="1477"/>
      <c r="I323" s="1477"/>
      <c r="J323" s="1477"/>
      <c r="K323" s="1477"/>
      <c r="L323" s="1477"/>
      <c r="T323" s="31"/>
    </row>
    <row r="324" spans="3:20">
      <c r="C324" s="187" t="s">
        <v>420</v>
      </c>
      <c r="D324" s="498"/>
      <c r="E324" s="96"/>
      <c r="F324" s="96"/>
      <c r="G324" s="509">
        <f>G106</f>
        <v>72952506.472466603</v>
      </c>
      <c r="H324" s="1477"/>
      <c r="I324" s="1477"/>
      <c r="J324" s="1477"/>
      <c r="K324" s="1477"/>
      <c r="L324" s="1477"/>
      <c r="M324" s="322">
        <f>M106</f>
        <v>91777881.187341213</v>
      </c>
      <c r="N324" s="322">
        <f>$M$154*N13</f>
        <v>92502723.919134378</v>
      </c>
      <c r="O324" s="322">
        <f t="shared" ref="O324:T324" si="89">$M$154*O13</f>
        <v>99559281.102179676</v>
      </c>
      <c r="P324" s="322">
        <f t="shared" si="89"/>
        <v>100241486.02622031</v>
      </c>
      <c r="Q324" s="322">
        <f t="shared" si="89"/>
        <v>102885030.10687776</v>
      </c>
      <c r="R324" s="322">
        <f t="shared" si="89"/>
        <v>118852889.11020379</v>
      </c>
      <c r="S324" s="322">
        <f t="shared" si="89"/>
        <v>210119116.60451457</v>
      </c>
      <c r="T324" s="425">
        <f t="shared" si="89"/>
        <v>172874991.5326713</v>
      </c>
    </row>
    <row r="325" spans="3:20">
      <c r="C325" s="187" t="s">
        <v>193</v>
      </c>
      <c r="D325" s="498"/>
      <c r="E325" s="96"/>
      <c r="F325" s="96"/>
      <c r="G325" s="509">
        <f>G107</f>
        <v>35836318.968930967</v>
      </c>
      <c r="H325" s="1477"/>
      <c r="I325" s="1477"/>
      <c r="J325" s="1477"/>
      <c r="K325" s="1477"/>
      <c r="L325" s="1477"/>
      <c r="M325" s="322">
        <f>M107</f>
        <v>45083871.460448325</v>
      </c>
      <c r="T325" s="31"/>
    </row>
    <row r="326" spans="3:20">
      <c r="C326" s="187" t="s">
        <v>421</v>
      </c>
      <c r="D326" s="498"/>
      <c r="E326" s="96"/>
      <c r="F326" s="96"/>
      <c r="G326" s="509">
        <f>G108</f>
        <v>7679211.2076280629</v>
      </c>
      <c r="H326" s="1477"/>
      <c r="I326" s="1477"/>
      <c r="J326" s="1477"/>
      <c r="K326" s="1477"/>
      <c r="L326" s="1477"/>
      <c r="M326" s="322">
        <f>M108</f>
        <v>9660829.5986674968</v>
      </c>
      <c r="T326" s="31"/>
    </row>
    <row r="327" spans="3:20">
      <c r="C327" s="472" t="s">
        <v>325</v>
      </c>
      <c r="D327" s="467"/>
      <c r="E327" s="467"/>
      <c r="F327" s="467"/>
      <c r="G327" s="983"/>
      <c r="H327" s="1462"/>
      <c r="I327" s="1462"/>
      <c r="J327" s="1462"/>
      <c r="K327" s="1462"/>
      <c r="L327" s="1462"/>
      <c r="M327" s="1462"/>
      <c r="N327" s="1462"/>
      <c r="O327" s="1462"/>
      <c r="P327" s="1462"/>
      <c r="Q327" s="1462"/>
      <c r="R327" s="1462"/>
      <c r="S327" s="1462"/>
      <c r="T327" s="978"/>
    </row>
    <row r="328" spans="3:20">
      <c r="C328" s="497" t="s">
        <v>341</v>
      </c>
      <c r="D328" s="499"/>
      <c r="E328" s="96"/>
      <c r="F328" s="96"/>
      <c r="G328" s="982"/>
      <c r="H328" s="1477"/>
      <c r="I328" s="1477"/>
      <c r="J328" s="1477"/>
      <c r="K328" s="1477"/>
      <c r="L328" s="1477"/>
      <c r="T328" s="31"/>
    </row>
    <row r="329" spans="3:20">
      <c r="C329" s="187" t="s">
        <v>420</v>
      </c>
      <c r="D329" s="499"/>
      <c r="E329" s="96"/>
      <c r="F329" s="96"/>
      <c r="G329" s="509">
        <f>G113</f>
        <v>63468448.990377545</v>
      </c>
      <c r="H329" s="1477"/>
      <c r="I329" s="1477"/>
      <c r="J329" s="1477"/>
      <c r="K329" s="1477"/>
      <c r="L329" s="1477"/>
      <c r="M329" s="322">
        <f>M113</f>
        <v>86887262.014520526</v>
      </c>
      <c r="N329" s="322">
        <f>$M$161*N13</f>
        <v>87573479.647155538</v>
      </c>
      <c r="O329" s="322">
        <f t="shared" ref="O329:T329" si="90">$M$161*O13</f>
        <v>94254010.129572794</v>
      </c>
      <c r="P329" s="322">
        <f t="shared" si="90"/>
        <v>94899862.019111633</v>
      </c>
      <c r="Q329" s="322">
        <f t="shared" si="90"/>
        <v>97402538.091074586</v>
      </c>
      <c r="R329" s="322">
        <f t="shared" si="90"/>
        <v>112519508.88059279</v>
      </c>
      <c r="S329" s="322">
        <f t="shared" si="90"/>
        <v>198922381.97795922</v>
      </c>
      <c r="T329" s="425">
        <f t="shared" si="90"/>
        <v>163662905.38344878</v>
      </c>
    </row>
    <row r="330" spans="3:20">
      <c r="C330" s="187" t="s">
        <v>193</v>
      </c>
      <c r="D330" s="498"/>
      <c r="E330" s="96"/>
      <c r="F330" s="96"/>
      <c r="G330" s="509">
        <f>G114</f>
        <v>31177483.714571431</v>
      </c>
      <c r="H330" s="1477"/>
      <c r="I330" s="1477"/>
      <c r="J330" s="1477"/>
      <c r="K330" s="1477"/>
      <c r="L330" s="1477"/>
      <c r="M330" s="322">
        <f>M114</f>
        <v>42681462.042220615</v>
      </c>
      <c r="T330" s="31"/>
    </row>
    <row r="331" spans="3:20">
      <c r="C331" s="187" t="s">
        <v>421</v>
      </c>
      <c r="D331" s="498"/>
      <c r="E331" s="96"/>
      <c r="F331" s="96"/>
      <c r="G331" s="509">
        <f>G115</f>
        <v>6680889.3674081629</v>
      </c>
      <c r="H331" s="1477"/>
      <c r="I331" s="1477"/>
      <c r="J331" s="1477"/>
      <c r="K331" s="1477"/>
      <c r="L331" s="1477"/>
      <c r="M331" s="322">
        <f>M115</f>
        <v>9146027.5804758444</v>
      </c>
      <c r="T331" s="31"/>
    </row>
    <row r="332" spans="3:20">
      <c r="C332" s="472" t="s">
        <v>326</v>
      </c>
      <c r="D332" s="467"/>
      <c r="E332" s="467"/>
      <c r="F332" s="467"/>
      <c r="G332" s="983"/>
      <c r="H332" s="1462"/>
      <c r="I332" s="1462"/>
      <c r="J332" s="1462"/>
      <c r="K332" s="1462"/>
      <c r="L332" s="1462"/>
      <c r="M332" s="1462"/>
      <c r="N332" s="1462"/>
      <c r="O332" s="1462"/>
      <c r="P332" s="1462"/>
      <c r="Q332" s="1462"/>
      <c r="R332" s="1462"/>
      <c r="S332" s="1462"/>
      <c r="T332" s="978"/>
    </row>
    <row r="333" spans="3:20">
      <c r="C333" s="497" t="s">
        <v>341</v>
      </c>
      <c r="D333" s="498"/>
      <c r="E333" s="96"/>
      <c r="F333" s="96"/>
      <c r="G333" s="982"/>
      <c r="H333" s="1477"/>
      <c r="I333" s="1477"/>
      <c r="J333" s="1477"/>
      <c r="K333" s="1477"/>
      <c r="L333" s="1477"/>
      <c r="T333" s="31"/>
    </row>
    <row r="334" spans="3:20">
      <c r="C334" s="187" t="s">
        <v>420</v>
      </c>
      <c r="D334" s="498"/>
      <c r="E334" s="96"/>
      <c r="F334" s="96"/>
      <c r="G334" s="509">
        <f>G120</f>
        <v>5601475.6845660005</v>
      </c>
      <c r="H334" s="1477"/>
      <c r="I334" s="1477"/>
      <c r="J334" s="1477"/>
      <c r="K334" s="1477"/>
      <c r="L334" s="1477"/>
      <c r="M334" s="322">
        <f>M120</f>
        <v>36079375.318967983</v>
      </c>
      <c r="N334" s="322">
        <f>$M$168*N13</f>
        <v>36364322.766318716</v>
      </c>
      <c r="O334" s="322">
        <f t="shared" ref="O334:T334" si="91">$M$168*O13</f>
        <v>39138369.974350862</v>
      </c>
      <c r="P334" s="322">
        <f t="shared" si="91"/>
        <v>39406555.807151563</v>
      </c>
      <c r="Q334" s="322">
        <f t="shared" si="91"/>
        <v>40445775.909254238</v>
      </c>
      <c r="R334" s="322">
        <f t="shared" si="91"/>
        <v>46723000.558245413</v>
      </c>
      <c r="S334" s="322">
        <f t="shared" si="91"/>
        <v>82601236.502612889</v>
      </c>
      <c r="T334" s="425">
        <f t="shared" si="91"/>
        <v>67959966.193150148</v>
      </c>
    </row>
    <row r="335" spans="3:20">
      <c r="C335" s="187" t="s">
        <v>193</v>
      </c>
      <c r="D335" s="498"/>
      <c r="E335" s="96"/>
      <c r="F335" s="96"/>
      <c r="G335" s="509">
        <f>G121</f>
        <v>2751602.0906640007</v>
      </c>
      <c r="H335" s="1477"/>
      <c r="I335" s="1477"/>
      <c r="J335" s="1477"/>
      <c r="K335" s="1477"/>
      <c r="L335" s="1477"/>
      <c r="M335" s="322">
        <f>M121</f>
        <v>17723201.911071997</v>
      </c>
      <c r="T335" s="31"/>
    </row>
    <row r="336" spans="3:20">
      <c r="C336" s="187" t="s">
        <v>421</v>
      </c>
      <c r="D336" s="498"/>
      <c r="E336" s="96"/>
      <c r="F336" s="96"/>
      <c r="G336" s="509">
        <f>G122</f>
        <v>589629.01942800009</v>
      </c>
      <c r="H336" s="1477"/>
      <c r="I336" s="1477"/>
      <c r="J336" s="1477"/>
      <c r="K336" s="1477"/>
      <c r="L336" s="1477"/>
      <c r="M336" s="322">
        <f>M122</f>
        <v>3797828.9809439988</v>
      </c>
      <c r="T336" s="31"/>
    </row>
    <row r="337" spans="3:21">
      <c r="C337" s="977" t="s">
        <v>241</v>
      </c>
      <c r="D337" s="1479"/>
      <c r="E337" s="1478"/>
      <c r="F337" s="1478"/>
      <c r="G337" s="983"/>
      <c r="H337" s="1462"/>
      <c r="I337" s="1462"/>
      <c r="J337" s="1462"/>
      <c r="K337" s="1462"/>
      <c r="L337" s="1462"/>
      <c r="M337" s="1462"/>
      <c r="N337" s="1462"/>
      <c r="O337" s="1462"/>
      <c r="P337" s="1462"/>
      <c r="Q337" s="1462"/>
      <c r="R337" s="1462"/>
      <c r="S337" s="1462"/>
      <c r="T337" s="978"/>
    </row>
    <row r="338" spans="3:21">
      <c r="C338" s="497" t="s">
        <v>341</v>
      </c>
      <c r="D338" s="498"/>
      <c r="E338" s="96"/>
      <c r="F338" s="96"/>
      <c r="G338" s="982"/>
      <c r="H338" s="1477"/>
      <c r="I338" s="1477"/>
      <c r="J338" s="1477"/>
      <c r="K338" s="1477"/>
      <c r="L338" s="1477"/>
      <c r="T338" s="31"/>
    </row>
    <row r="339" spans="3:21">
      <c r="C339" s="187" t="s">
        <v>497</v>
      </c>
      <c r="D339" s="498"/>
      <c r="E339" s="96"/>
      <c r="F339" s="96"/>
      <c r="G339" s="509"/>
      <c r="H339" s="322"/>
      <c r="I339" s="322"/>
      <c r="J339" s="322">
        <f>J127</f>
        <v>1603837525.443666</v>
      </c>
      <c r="K339" s="322">
        <f t="shared" ref="K339:T339" si="92">$H175*K13</f>
        <v>1803463478.9492328</v>
      </c>
      <c r="L339" s="322">
        <f t="shared" si="92"/>
        <v>1701813719.2266397</v>
      </c>
      <c r="M339" s="322">
        <f t="shared" si="92"/>
        <v>1764525062.9264653</v>
      </c>
      <c r="N339" s="322">
        <f t="shared" si="92"/>
        <v>1778460917.0819819</v>
      </c>
      <c r="O339" s="322">
        <f t="shared" si="92"/>
        <v>1914130556.0665722</v>
      </c>
      <c r="P339" s="322">
        <f t="shared" si="92"/>
        <v>1927246654.095294</v>
      </c>
      <c r="Q339" s="322">
        <f t="shared" si="92"/>
        <v>1978071533.9565904</v>
      </c>
      <c r="R339" s="322">
        <f t="shared" si="92"/>
        <v>2285070203.4413576</v>
      </c>
      <c r="S339" s="322">
        <f t="shared" si="92"/>
        <v>4039758192.846282</v>
      </c>
      <c r="T339" s="425">
        <f t="shared" si="92"/>
        <v>3323701216.0907564</v>
      </c>
    </row>
    <row r="340" spans="3:21">
      <c r="C340" s="187" t="s">
        <v>498</v>
      </c>
      <c r="D340" s="498"/>
      <c r="E340" s="96"/>
      <c r="F340" s="96"/>
      <c r="G340" s="509"/>
      <c r="H340" s="322"/>
      <c r="I340" s="322"/>
      <c r="J340" s="322">
        <f>J128</f>
        <v>787850012.49864316</v>
      </c>
      <c r="K340" s="322">
        <f t="shared" ref="K340:T340" si="93">J176*K29</f>
        <v>759813766.55207014</v>
      </c>
      <c r="L340" s="322">
        <f t="shared" si="93"/>
        <v>761938654.44247746</v>
      </c>
      <c r="M340" s="322">
        <f t="shared" si="93"/>
        <v>749576496.31524873</v>
      </c>
      <c r="N340" s="322">
        <f t="shared" si="93"/>
        <v>871365868.1382618</v>
      </c>
      <c r="O340" s="322">
        <f t="shared" si="93"/>
        <v>829354523.67449749</v>
      </c>
      <c r="P340" s="322">
        <f t="shared" si="93"/>
        <v>777326434.82206976</v>
      </c>
      <c r="Q340" s="322">
        <f t="shared" si="93"/>
        <v>993039494.27336502</v>
      </c>
      <c r="R340" s="322">
        <f t="shared" si="93"/>
        <v>1356229585.4132721</v>
      </c>
      <c r="S340" s="322">
        <f t="shared" si="93"/>
        <v>1274302061.8552585</v>
      </c>
      <c r="T340" s="425">
        <f t="shared" si="93"/>
        <v>1190457058.3856442</v>
      </c>
    </row>
    <row r="341" spans="3:21">
      <c r="C341" s="187" t="s">
        <v>499</v>
      </c>
      <c r="D341" s="498"/>
      <c r="E341" s="96"/>
      <c r="F341" s="96"/>
      <c r="G341" s="509"/>
      <c r="H341" s="322"/>
      <c r="I341" s="322"/>
      <c r="J341" s="322">
        <f>J129</f>
        <v>168825002.67828065</v>
      </c>
      <c r="K341" s="322">
        <f>J177*K38</f>
        <v>147890049.60209733</v>
      </c>
      <c r="L341" s="322">
        <f>K177*L38</f>
        <v>170583784.7583966</v>
      </c>
      <c r="M341" s="322">
        <f>L177*M38</f>
        <v>213768897.16644064</v>
      </c>
      <c r="N341" s="322">
        <f t="shared" ref="N341:T341" si="94">M177*N38</f>
        <v>230509314.30659464</v>
      </c>
      <c r="O341" s="322">
        <f t="shared" si="94"/>
        <v>194738316.69362661</v>
      </c>
      <c r="P341" s="322">
        <f t="shared" si="94"/>
        <v>158119892.6908662</v>
      </c>
      <c r="Q341" s="322">
        <f t="shared" si="94"/>
        <v>225996316.77505025</v>
      </c>
      <c r="R341" s="322">
        <f t="shared" si="94"/>
        <v>323418498.21224743</v>
      </c>
      <c r="S341" s="322">
        <f t="shared" si="94"/>
        <v>207687701.19356883</v>
      </c>
      <c r="T341" s="425">
        <f t="shared" si="94"/>
        <v>300650689.16533756</v>
      </c>
    </row>
    <row r="342" spans="3:21">
      <c r="C342" s="444" t="s">
        <v>427</v>
      </c>
      <c r="D342" s="575"/>
      <c r="E342" s="576"/>
      <c r="F342" s="576"/>
      <c r="G342" s="1484"/>
      <c r="H342" s="976"/>
      <c r="I342" s="976"/>
      <c r="J342" s="976"/>
      <c r="K342" s="976"/>
      <c r="L342" s="976"/>
      <c r="M342" s="92"/>
      <c r="N342" s="92"/>
      <c r="O342" s="92"/>
      <c r="P342" s="92"/>
      <c r="Q342" s="92"/>
      <c r="R342" s="92"/>
      <c r="S342" s="92"/>
      <c r="T342" s="33"/>
    </row>
    <row r="345" spans="3:21">
      <c r="C345" s="15" t="s">
        <v>519</v>
      </c>
    </row>
    <row r="346" spans="3:21">
      <c r="G346" s="344">
        <v>2011</v>
      </c>
      <c r="H346" s="345">
        <v>2012</v>
      </c>
      <c r="I346" s="345">
        <v>2013</v>
      </c>
      <c r="J346" s="345">
        <v>2014</v>
      </c>
      <c r="K346" s="345">
        <v>2015</v>
      </c>
      <c r="L346" s="345">
        <v>2016</v>
      </c>
      <c r="M346" s="345">
        <v>2017</v>
      </c>
      <c r="N346" s="345">
        <v>2018</v>
      </c>
      <c r="O346" s="345">
        <v>2019</v>
      </c>
      <c r="P346" s="345">
        <v>2020</v>
      </c>
      <c r="Q346" s="345">
        <v>2021</v>
      </c>
      <c r="R346" s="345">
        <v>2022</v>
      </c>
      <c r="S346" s="345">
        <v>2023</v>
      </c>
      <c r="T346" s="346">
        <v>2024</v>
      </c>
    </row>
    <row r="347" spans="3:21">
      <c r="C347" s="586" t="s">
        <v>343</v>
      </c>
      <c r="D347" s="70"/>
      <c r="E347" s="70"/>
      <c r="F347" s="475" t="s">
        <v>503</v>
      </c>
      <c r="G347" s="1481"/>
      <c r="H347" s="1482"/>
      <c r="I347" s="1482"/>
      <c r="J347" s="1482"/>
      <c r="K347" s="1482"/>
      <c r="L347" s="1482"/>
      <c r="M347" s="1482"/>
      <c r="N347" s="1482"/>
      <c r="O347" s="1482"/>
      <c r="P347" s="1482"/>
      <c r="Q347" s="1482"/>
      <c r="R347" s="1482"/>
      <c r="S347" s="1482"/>
      <c r="T347" s="1483"/>
    </row>
    <row r="348" spans="3:21">
      <c r="C348" s="71" t="s">
        <v>508</v>
      </c>
      <c r="G348" s="509"/>
      <c r="H348" s="322"/>
      <c r="I348" s="322"/>
      <c r="J348" s="322">
        <f>J236</f>
        <v>477474665.66349292</v>
      </c>
      <c r="K348" s="322">
        <f t="shared" ref="K348:T348" si="95">J301*K64</f>
        <v>426873301.59031773</v>
      </c>
      <c r="L348" s="322">
        <f t="shared" si="95"/>
        <v>403238967.14178669</v>
      </c>
      <c r="M348" s="322">
        <f t="shared" si="95"/>
        <v>434660876.610255</v>
      </c>
      <c r="N348" s="322">
        <f t="shared" si="95"/>
        <v>496929625.78000456</v>
      </c>
      <c r="O348" s="322">
        <f t="shared" si="95"/>
        <v>488543682.99600154</v>
      </c>
      <c r="P348" s="322">
        <f t="shared" si="95"/>
        <v>424823282.12029344</v>
      </c>
      <c r="Q348" s="322">
        <f t="shared" si="95"/>
        <v>439741908.51779497</v>
      </c>
      <c r="R348" s="322">
        <f t="shared" si="95"/>
        <v>608494977.36408496</v>
      </c>
      <c r="S348" s="322">
        <f t="shared" si="95"/>
        <v>589621627.64138234</v>
      </c>
      <c r="T348" s="425">
        <f t="shared" si="95"/>
        <v>559517205.52428544</v>
      </c>
    </row>
    <row r="349" spans="3:21">
      <c r="C349" s="91" t="s">
        <v>509</v>
      </c>
      <c r="D349" s="92"/>
      <c r="E349" s="92"/>
      <c r="F349" s="92"/>
      <c r="G349" s="428"/>
      <c r="H349" s="429"/>
      <c r="I349" s="429"/>
      <c r="J349" s="429">
        <f>J237</f>
        <v>147455411.45490223</v>
      </c>
      <c r="K349" s="429">
        <f t="shared" ref="K349:T349" si="96">J302*K68</f>
        <v>134735976.84309232</v>
      </c>
      <c r="L349" s="429">
        <f t="shared" si="96"/>
        <v>124713685.18850772</v>
      </c>
      <c r="M349" s="429">
        <f t="shared" si="96"/>
        <v>127323048.92373396</v>
      </c>
      <c r="N349" s="429">
        <f t="shared" si="96"/>
        <v>143587156.16820976</v>
      </c>
      <c r="O349" s="429">
        <f t="shared" si="96"/>
        <v>150523703.73113823</v>
      </c>
      <c r="P349" s="429">
        <f t="shared" si="96"/>
        <v>135259605.83204189</v>
      </c>
      <c r="Q349" s="429">
        <f t="shared" si="96"/>
        <v>136452784.42686534</v>
      </c>
      <c r="R349" s="429">
        <f t="shared" si="96"/>
        <v>168782722.21443543</v>
      </c>
      <c r="S349" s="429">
        <f t="shared" si="96"/>
        <v>195155267.03195637</v>
      </c>
      <c r="T349" s="430">
        <f t="shared" si="96"/>
        <v>177317726.99113214</v>
      </c>
    </row>
    <row r="351" spans="3:21">
      <c r="C351" s="15" t="s">
        <v>520</v>
      </c>
      <c r="G351" s="391">
        <v>2011</v>
      </c>
      <c r="H351" s="392">
        <v>2012</v>
      </c>
      <c r="I351" s="392">
        <v>2013</v>
      </c>
      <c r="J351" s="392">
        <v>2014</v>
      </c>
      <c r="K351" s="392">
        <v>2015</v>
      </c>
      <c r="L351" s="392">
        <v>2016</v>
      </c>
      <c r="M351" s="392">
        <v>2017</v>
      </c>
      <c r="N351" s="392">
        <v>2018</v>
      </c>
      <c r="O351" s="392">
        <v>2019</v>
      </c>
      <c r="P351" s="392">
        <v>2020</v>
      </c>
      <c r="Q351" s="392">
        <v>2021</v>
      </c>
      <c r="R351" s="392">
        <v>2022</v>
      </c>
      <c r="S351" s="392">
        <v>2023</v>
      </c>
      <c r="T351" s="392">
        <v>2024</v>
      </c>
      <c r="U351" s="1486" t="s">
        <v>1251</v>
      </c>
    </row>
    <row r="352" spans="3:21">
      <c r="C352" s="582" t="s">
        <v>341</v>
      </c>
      <c r="D352" s="512"/>
      <c r="E352" s="475"/>
      <c r="F352" s="475"/>
      <c r="G352" s="1481"/>
      <c r="H352" s="1482"/>
      <c r="I352" s="1482"/>
      <c r="J352" s="1482"/>
      <c r="K352" s="1482"/>
      <c r="L352" s="1482"/>
      <c r="M352" s="70"/>
      <c r="N352" s="70"/>
      <c r="O352" s="70"/>
      <c r="P352" s="70"/>
      <c r="Q352" s="70"/>
      <c r="R352" s="70"/>
      <c r="S352" s="70"/>
      <c r="T352" s="70"/>
      <c r="U352" s="88"/>
    </row>
    <row r="353" spans="3:22">
      <c r="C353" s="187" t="s">
        <v>497</v>
      </c>
      <c r="D353" s="498"/>
      <c r="E353" s="96"/>
      <c r="F353" s="96"/>
      <c r="G353" s="509"/>
      <c r="H353" s="322"/>
      <c r="I353" s="322"/>
      <c r="J353" s="322">
        <f t="shared" ref="J353:T353" si="97">J127-J339</f>
        <v>0</v>
      </c>
      <c r="K353" s="322">
        <f t="shared" si="97"/>
        <v>-162574162.41775441</v>
      </c>
      <c r="L353" s="322">
        <f t="shared" si="97"/>
        <v>-126338683.57963753</v>
      </c>
      <c r="M353" s="322">
        <f t="shared" si="97"/>
        <v>-144262360.96855736</v>
      </c>
      <c r="N353" s="322">
        <f t="shared" si="97"/>
        <v>-98636730.253780127</v>
      </c>
      <c r="O353" s="322">
        <f t="shared" si="97"/>
        <v>-201743278.31552458</v>
      </c>
      <c r="P353" s="322">
        <f t="shared" si="97"/>
        <v>-284095805.76664877</v>
      </c>
      <c r="Q353" s="322">
        <f t="shared" si="97"/>
        <v>-252460036.64682031</v>
      </c>
      <c r="R353" s="322">
        <f t="shared" si="97"/>
        <v>-108914627.61180353</v>
      </c>
      <c r="S353" s="322">
        <f t="shared" si="97"/>
        <v>-1234970782.2440243</v>
      </c>
      <c r="T353" s="322">
        <f t="shared" si="97"/>
        <v>-652549561.37181473</v>
      </c>
      <c r="U353" s="587">
        <f>SUM(M353:S353)</f>
        <v>-2325083621.8071589</v>
      </c>
    </row>
    <row r="354" spans="3:22">
      <c r="C354" s="187" t="s">
        <v>498</v>
      </c>
      <c r="D354" s="498"/>
      <c r="E354" s="96"/>
      <c r="F354" s="96"/>
      <c r="G354" s="1373"/>
      <c r="H354" s="1485"/>
      <c r="I354" s="1485"/>
      <c r="J354" s="1485">
        <f t="shared" ref="J354:T354" si="98">J128-J340</f>
        <v>0</v>
      </c>
      <c r="K354" s="1485">
        <f t="shared" si="98"/>
        <v>46237125.779182434</v>
      </c>
      <c r="L354" s="1485">
        <f t="shared" si="98"/>
        <v>11978906.927979946</v>
      </c>
      <c r="M354" s="1485">
        <f t="shared" si="98"/>
        <v>46342023.944776416</v>
      </c>
      <c r="N354" s="1485">
        <f t="shared" si="98"/>
        <v>-46189074.608618736</v>
      </c>
      <c r="O354" s="1485">
        <f t="shared" si="98"/>
        <v>11818174.168122649</v>
      </c>
      <c r="P354" s="1485">
        <f t="shared" si="98"/>
        <v>29835385.40954566</v>
      </c>
      <c r="Q354" s="1485">
        <f t="shared" si="98"/>
        <v>-145370688.5773375</v>
      </c>
      <c r="R354" s="1485">
        <f t="shared" si="98"/>
        <v>-287240881.49699974</v>
      </c>
      <c r="S354" s="1485">
        <f t="shared" si="98"/>
        <v>103488245.10725427</v>
      </c>
      <c r="T354" s="1485">
        <f t="shared" si="98"/>
        <v>121687614.10787129</v>
      </c>
      <c r="U354" s="587">
        <f>SUM(G354:T354)</f>
        <v>-107413169.23822331</v>
      </c>
    </row>
    <row r="355" spans="3:22">
      <c r="C355" s="187" t="s">
        <v>499</v>
      </c>
      <c r="D355" s="498"/>
      <c r="E355" s="96"/>
      <c r="F355" s="96"/>
      <c r="G355" s="509"/>
      <c r="H355" s="322"/>
      <c r="I355" s="322"/>
      <c r="J355" s="322">
        <f t="shared" ref="J355:T355" si="99">J129-J341</f>
        <v>0</v>
      </c>
      <c r="K355" s="322">
        <f t="shared" si="99"/>
        <v>24835141.611742496</v>
      </c>
      <c r="L355" s="322">
        <f t="shared" si="99"/>
        <v>-4744307.321870029</v>
      </c>
      <c r="M355" s="322">
        <f t="shared" si="99"/>
        <v>-43214928.539292425</v>
      </c>
      <c r="N355" s="322">
        <f t="shared" si="99"/>
        <v>-53685715.693099707</v>
      </c>
      <c r="O355" s="322">
        <f t="shared" si="99"/>
        <v>-14487024.298779458</v>
      </c>
      <c r="P355" s="322">
        <f t="shared" si="99"/>
        <v>14843354.501622796</v>
      </c>
      <c r="Q355" s="322">
        <f t="shared" si="99"/>
        <v>-44353001.268758655</v>
      </c>
      <c r="R355" s="322">
        <f t="shared" si="99"/>
        <v>-94349490.230189085</v>
      </c>
      <c r="S355" s="322">
        <f t="shared" si="99"/>
        <v>87553078.869826674</v>
      </c>
      <c r="T355" s="322">
        <f t="shared" si="99"/>
        <v>-19476830.773869991</v>
      </c>
      <c r="U355" s="587">
        <f>SUM(G355:T355)</f>
        <v>-147079723.14266738</v>
      </c>
    </row>
    <row r="356" spans="3:22">
      <c r="C356" s="586" t="s">
        <v>343</v>
      </c>
      <c r="D356" s="70"/>
      <c r="E356" s="70"/>
      <c r="F356" s="475" t="s">
        <v>503</v>
      </c>
      <c r="G356" s="1481"/>
      <c r="H356" s="1482"/>
      <c r="I356" s="1482"/>
      <c r="J356" s="1482"/>
      <c r="K356" s="1482"/>
      <c r="L356" s="1482"/>
      <c r="M356" s="427"/>
      <c r="N356" s="70"/>
      <c r="O356" s="70"/>
      <c r="P356" s="70"/>
      <c r="Q356" s="70"/>
      <c r="R356" s="70"/>
      <c r="S356" s="70"/>
      <c r="T356" s="70"/>
      <c r="U356" s="984"/>
    </row>
    <row r="357" spans="3:22">
      <c r="C357" s="71" t="s">
        <v>508</v>
      </c>
      <c r="G357" s="509"/>
      <c r="H357" s="322"/>
      <c r="I357" s="322"/>
      <c r="J357" s="322">
        <f t="shared" ref="J357:T357" si="100">J236-J348</f>
        <v>0</v>
      </c>
      <c r="K357" s="322">
        <f t="shared" si="100"/>
        <v>-7630602.8811377883</v>
      </c>
      <c r="L357" s="322">
        <f t="shared" si="100"/>
        <v>-13377682.344467759</v>
      </c>
      <c r="M357" s="322">
        <f t="shared" si="100"/>
        <v>-8493505.0415474772</v>
      </c>
      <c r="N357" s="322">
        <f t="shared" si="100"/>
        <v>-9496684.3894475102</v>
      </c>
      <c r="O357" s="322">
        <f t="shared" si="100"/>
        <v>-2837199.5153458118</v>
      </c>
      <c r="P357" s="322">
        <f t="shared" si="100"/>
        <v>-37416226.290932</v>
      </c>
      <c r="Q357" s="322">
        <f t="shared" si="100"/>
        <v>31048324.726296127</v>
      </c>
      <c r="R357" s="322">
        <f t="shared" si="100"/>
        <v>-1264858.9484781027</v>
      </c>
      <c r="S357" s="322">
        <f t="shared" si="100"/>
        <v>3049217.7758671045</v>
      </c>
      <c r="T357" s="322">
        <f t="shared" si="100"/>
        <v>12652630.55150044</v>
      </c>
      <c r="U357" s="587">
        <f>SUM(G357:T357)</f>
        <v>-33766586.357692778</v>
      </c>
    </row>
    <row r="358" spans="3:22">
      <c r="C358" s="91" t="s">
        <v>509</v>
      </c>
      <c r="D358" s="92"/>
      <c r="E358" s="92"/>
      <c r="F358" s="92"/>
      <c r="G358" s="428"/>
      <c r="H358" s="429"/>
      <c r="I358" s="429"/>
      <c r="J358" s="429">
        <f t="shared" ref="J358:T358" si="101">J237-J349</f>
        <v>0</v>
      </c>
      <c r="K358" s="429">
        <f t="shared" si="101"/>
        <v>-5263966.9476102889</v>
      </c>
      <c r="L358" s="429">
        <f t="shared" si="101"/>
        <v>-4315347.2363945246</v>
      </c>
      <c r="M358" s="429">
        <f t="shared" si="101"/>
        <v>4287462.8842492253</v>
      </c>
      <c r="N358" s="429">
        <f t="shared" si="101"/>
        <v>6943605.1435798705</v>
      </c>
      <c r="O358" s="429">
        <f t="shared" si="101"/>
        <v>-526113.24446514249</v>
      </c>
      <c r="P358" s="429">
        <f t="shared" si="101"/>
        <v>-15619191.531797916</v>
      </c>
      <c r="Q358" s="429">
        <f t="shared" si="101"/>
        <v>8938317.0161627829</v>
      </c>
      <c r="R358" s="429">
        <f t="shared" si="101"/>
        <v>18744226.119796067</v>
      </c>
      <c r="S358" s="429">
        <f t="shared" si="101"/>
        <v>-12124564.770747006</v>
      </c>
      <c r="T358" s="429">
        <f t="shared" si="101"/>
        <v>-618218.79125714302</v>
      </c>
      <c r="U358" s="588">
        <f>SUM(G358:T358)</f>
        <v>446208.64151592553</v>
      </c>
    </row>
    <row r="359" spans="3:22" ht="17.149999999999999" customHeight="1">
      <c r="C359" s="62" t="s">
        <v>241</v>
      </c>
      <c r="D359" s="63"/>
      <c r="E359" s="63"/>
      <c r="F359" s="64"/>
      <c r="G359" s="65"/>
      <c r="H359" s="63"/>
      <c r="I359" s="63"/>
      <c r="J359" s="63"/>
      <c r="K359" s="63"/>
      <c r="L359" s="63"/>
      <c r="M359" s="63"/>
      <c r="N359" s="63"/>
      <c r="O359" s="63"/>
      <c r="P359" s="63"/>
      <c r="Q359" s="63"/>
      <c r="R359" s="63"/>
      <c r="S359" s="63"/>
      <c r="T359" s="63"/>
      <c r="U359" s="1487">
        <f>SUM(U353:U358)</f>
        <v>-2612896891.9042268</v>
      </c>
    </row>
    <row r="360" spans="3:22" ht="17.149999999999999" customHeight="1">
      <c r="U360" s="1413"/>
    </row>
    <row r="361" spans="3:22" ht="17" customHeight="1">
      <c r="C361" s="15" t="s">
        <v>521</v>
      </c>
      <c r="G361" s="391">
        <v>2011</v>
      </c>
      <c r="H361" s="392">
        <v>2012</v>
      </c>
      <c r="I361" s="392">
        <v>2013</v>
      </c>
      <c r="J361" s="392">
        <v>2014</v>
      </c>
      <c r="K361" s="392">
        <v>2015</v>
      </c>
      <c r="L361" s="392">
        <v>2016</v>
      </c>
      <c r="M361" s="392">
        <v>2017</v>
      </c>
      <c r="N361" s="392">
        <v>2018</v>
      </c>
      <c r="O361" s="392">
        <v>2019</v>
      </c>
      <c r="P361" s="392">
        <v>2020</v>
      </c>
      <c r="Q361" s="392">
        <v>2021</v>
      </c>
      <c r="R361" s="392">
        <v>2022</v>
      </c>
      <c r="S361" s="392">
        <v>2023</v>
      </c>
      <c r="T361" s="392">
        <v>2024</v>
      </c>
      <c r="U361" s="1489" t="s">
        <v>241</v>
      </c>
    </row>
    <row r="362" spans="3:22" ht="17.149999999999999" customHeight="1">
      <c r="C362" t="s">
        <v>1254</v>
      </c>
      <c r="G362" s="1488">
        <f t="shared" ref="G362:T362" si="102">(G349+G348+G341+G340+G339+G376)/10^9</f>
        <v>0</v>
      </c>
      <c r="H362" s="28">
        <f t="shared" si="102"/>
        <v>0</v>
      </c>
      <c r="I362" s="28">
        <f t="shared" si="102"/>
        <v>0</v>
      </c>
      <c r="J362" s="28">
        <f t="shared" si="102"/>
        <v>3.6693659090149344</v>
      </c>
      <c r="K362" s="28">
        <f t="shared" si="102"/>
        <v>3.8080725416389436</v>
      </c>
      <c r="L362" s="28">
        <f t="shared" si="102"/>
        <v>3.667413551566912</v>
      </c>
      <c r="M362" s="28">
        <f t="shared" si="102"/>
        <v>3.8135928234602532</v>
      </c>
      <c r="N362" s="28">
        <f t="shared" si="102"/>
        <v>4.048727700928497</v>
      </c>
      <c r="O362" s="28">
        <f t="shared" si="102"/>
        <v>4.14543445839751</v>
      </c>
      <c r="P362" s="28">
        <f t="shared" si="102"/>
        <v>3.9948126063824363</v>
      </c>
      <c r="Q362" s="28">
        <f t="shared" si="102"/>
        <v>4.3604243884180516</v>
      </c>
      <c r="R362" s="28">
        <f t="shared" si="102"/>
        <v>5.4202403098657141</v>
      </c>
      <c r="S362" s="28">
        <f t="shared" si="102"/>
        <v>7.5055878191172267</v>
      </c>
      <c r="T362" s="28">
        <f t="shared" si="102"/>
        <v>6.5381700337344739</v>
      </c>
      <c r="U362" s="984">
        <f>SUM(G362:T362)</f>
        <v>50.971842142524949</v>
      </c>
      <c r="V362" s="158"/>
    </row>
    <row r="363" spans="3:22" ht="17.149999999999999" customHeight="1">
      <c r="C363" t="s">
        <v>522</v>
      </c>
      <c r="G363" s="341"/>
      <c r="H363" s="32"/>
      <c r="I363" s="32"/>
      <c r="J363" s="32">
        <f t="shared" ref="J363:T363" si="103">(J237+J236+J129+J128+J127+J370)/10^9</f>
        <v>3.6693659090149344</v>
      </c>
      <c r="K363" s="32">
        <f t="shared" si="103"/>
        <v>3.6970308948066557</v>
      </c>
      <c r="L363" s="32">
        <f t="shared" si="103"/>
        <v>3.5447156984273169</v>
      </c>
      <c r="M363" s="32">
        <f t="shared" si="103"/>
        <v>3.6682515157398821</v>
      </c>
      <c r="N363" s="32">
        <f t="shared" si="103"/>
        <v>3.8435942065116233</v>
      </c>
      <c r="O363" s="32">
        <f t="shared" si="103"/>
        <v>3.8773995158637051</v>
      </c>
      <c r="P363" s="32">
        <f t="shared" si="103"/>
        <v>3.6473443986495804</v>
      </c>
      <c r="Q363" s="32">
        <f t="shared" si="103"/>
        <v>3.8769055543728079</v>
      </c>
      <c r="R363" s="32">
        <f t="shared" si="103"/>
        <v>4.8326832579676449</v>
      </c>
      <c r="S363" s="32">
        <f t="shared" si="103"/>
        <v>5.8441056515526926</v>
      </c>
      <c r="T363" s="32">
        <f t="shared" si="103"/>
        <v>5.6267043884205856</v>
      </c>
      <c r="U363" s="1490">
        <f>SUM(G363:T363)</f>
        <v>46.128100991327429</v>
      </c>
      <c r="V363" s="322"/>
    </row>
    <row r="364" spans="3:22" ht="17.149999999999999" customHeight="1">
      <c r="U364" s="588">
        <f>U362-U363</f>
        <v>4.8437411511975199</v>
      </c>
    </row>
    <row r="365" spans="3:22" ht="17.149999999999999" customHeight="1">
      <c r="U365" s="985"/>
    </row>
    <row r="366" spans="3:22" ht="17.149999999999999" customHeight="1">
      <c r="C366" s="15" t="s">
        <v>523</v>
      </c>
      <c r="G366" s="344">
        <v>2011</v>
      </c>
      <c r="H366" s="345">
        <v>2012</v>
      </c>
      <c r="I366" s="345">
        <v>2013</v>
      </c>
      <c r="J366" s="345">
        <v>2014</v>
      </c>
      <c r="K366" s="345">
        <v>2015</v>
      </c>
      <c r="L366" s="345">
        <v>2016</v>
      </c>
      <c r="M366" s="345">
        <v>2017</v>
      </c>
      <c r="N366" s="345">
        <v>2018</v>
      </c>
      <c r="O366" s="345">
        <v>2019</v>
      </c>
      <c r="P366" s="345">
        <v>2020</v>
      </c>
      <c r="Q366" s="345">
        <v>2021</v>
      </c>
      <c r="R366" s="345">
        <v>2022</v>
      </c>
      <c r="S366" s="345">
        <v>2023</v>
      </c>
      <c r="T366" s="346">
        <v>2024</v>
      </c>
      <c r="U366" s="322"/>
    </row>
    <row r="367" spans="3:22" ht="17.149999999999999" customHeight="1">
      <c r="C367" s="69" t="s">
        <v>524</v>
      </c>
      <c r="D367" s="70"/>
      <c r="E367" s="70"/>
      <c r="F367" s="70"/>
      <c r="G367" s="71"/>
      <c r="H367" s="1361">
        <v>362157612.27888131</v>
      </c>
      <c r="I367" s="1361">
        <v>377799232.95823407</v>
      </c>
      <c r="J367" s="1361">
        <v>402311573.9359495</v>
      </c>
      <c r="K367" s="940">
        <v>435529186.25542331</v>
      </c>
      <c r="L367" s="940">
        <v>414217753.18389893</v>
      </c>
      <c r="M367" s="940">
        <v>405015007.52810997</v>
      </c>
      <c r="N367" s="940">
        <v>401366460.60793686</v>
      </c>
      <c r="O367" s="940">
        <v>378987035.61786133</v>
      </c>
      <c r="P367" s="940">
        <v>389950766.00722522</v>
      </c>
      <c r="Q367" s="940">
        <v>381287341.78359973</v>
      </c>
      <c r="R367" s="940">
        <v>413749851.23992187</v>
      </c>
      <c r="S367" s="940">
        <v>438007432.63606697</v>
      </c>
      <c r="T367" s="1362">
        <v>442948449.23766702</v>
      </c>
      <c r="U367" s="322"/>
    </row>
    <row r="368" spans="3:22" ht="17.149999999999999" customHeight="1">
      <c r="C368" s="71" t="s">
        <v>525</v>
      </c>
      <c r="G368" s="71"/>
      <c r="H368" s="987">
        <v>48423335.210000001</v>
      </c>
      <c r="I368" s="987">
        <v>52643210.720000006</v>
      </c>
      <c r="J368" s="987">
        <v>63819412.750000022</v>
      </c>
      <c r="K368" s="938">
        <v>73741500.519999996</v>
      </c>
      <c r="L368" s="938">
        <v>82948193.309999987</v>
      </c>
      <c r="M368" s="938">
        <v>97316885.079999968</v>
      </c>
      <c r="N368" s="938">
        <v>98971743.539999977</v>
      </c>
      <c r="O368" s="938">
        <v>106112430.44000004</v>
      </c>
      <c r="P368" s="938">
        <v>106818871.34999999</v>
      </c>
      <c r="Q368" s="938">
        <v>104166672.09</v>
      </c>
      <c r="R368" s="938">
        <v>127269163.08000001</v>
      </c>
      <c r="S368" s="938">
        <v>130810741.59999999</v>
      </c>
      <c r="T368" s="969">
        <v>147392928.43333301</v>
      </c>
      <c r="U368" s="322"/>
    </row>
    <row r="369" spans="3:22" ht="17.149999999999999" customHeight="1">
      <c r="C369" s="71" t="s">
        <v>346</v>
      </c>
      <c r="G369" s="71"/>
      <c r="H369" s="974">
        <v>11275209.83</v>
      </c>
      <c r="I369" s="974">
        <v>13540123.929999998</v>
      </c>
      <c r="J369" s="974">
        <v>17792304.59</v>
      </c>
      <c r="K369" s="974">
        <v>19380099.349999998</v>
      </c>
      <c r="L369" s="974">
        <v>22058054.73</v>
      </c>
      <c r="M369" s="974">
        <v>21406548.91</v>
      </c>
      <c r="N369" s="926">
        <v>23467720.690000001</v>
      </c>
      <c r="O369" s="938">
        <v>22784707.850000001</v>
      </c>
      <c r="P369" s="938">
        <v>20251375.41</v>
      </c>
      <c r="Q369" s="938">
        <v>20346587.300000001</v>
      </c>
      <c r="R369" s="938">
        <v>22693889.170000002</v>
      </c>
      <c r="S369" s="938">
        <v>21767432.010000002</v>
      </c>
      <c r="T369" s="969">
        <v>23023480.870000001</v>
      </c>
      <c r="U369" s="322"/>
    </row>
    <row r="370" spans="3:22" ht="17.149999999999999" customHeight="1">
      <c r="C370" s="62" t="s">
        <v>241</v>
      </c>
      <c r="D370" s="63"/>
      <c r="E370" s="63"/>
      <c r="F370" s="63"/>
      <c r="G370" s="65"/>
      <c r="H370" s="990">
        <f>SUM(H367:H369)</f>
        <v>421856157.31888127</v>
      </c>
      <c r="I370" s="990">
        <f t="shared" ref="I370:T370" si="104">SUM(I367:I369)</f>
        <v>443982567.60823411</v>
      </c>
      <c r="J370" s="990">
        <f t="shared" si="104"/>
        <v>483923291.27594948</v>
      </c>
      <c r="K370" s="990">
        <f t="shared" si="104"/>
        <v>528650786.12542331</v>
      </c>
      <c r="L370" s="990">
        <f t="shared" si="104"/>
        <v>519224001.22389895</v>
      </c>
      <c r="M370" s="990">
        <f t="shared" si="104"/>
        <v>523738441.51810998</v>
      </c>
      <c r="N370" s="990">
        <f t="shared" si="104"/>
        <v>523805924.83793682</v>
      </c>
      <c r="O370" s="990">
        <f t="shared" si="104"/>
        <v>507884173.90786141</v>
      </c>
      <c r="P370" s="990">
        <f t="shared" si="104"/>
        <v>517021012.76722521</v>
      </c>
      <c r="Q370" s="990">
        <f t="shared" si="104"/>
        <v>505800601.17359978</v>
      </c>
      <c r="R370" s="990">
        <f t="shared" si="104"/>
        <v>563712903.48992181</v>
      </c>
      <c r="S370" s="990">
        <f t="shared" si="104"/>
        <v>590585606.24606693</v>
      </c>
      <c r="T370" s="991">
        <f t="shared" si="104"/>
        <v>613364858.54100001</v>
      </c>
      <c r="U370" s="322"/>
    </row>
    <row r="371" spans="3:22" ht="17.149999999999999" customHeight="1">
      <c r="U371" s="322"/>
    </row>
    <row r="372" spans="3:22" ht="17.149999999999999" customHeight="1">
      <c r="C372" s="15" t="s">
        <v>526</v>
      </c>
      <c r="G372" s="344">
        <v>2011</v>
      </c>
      <c r="H372" s="345">
        <v>2012</v>
      </c>
      <c r="I372" s="345">
        <v>2013</v>
      </c>
      <c r="J372" s="345">
        <v>2014</v>
      </c>
      <c r="K372" s="345">
        <v>2015</v>
      </c>
      <c r="L372" s="345">
        <v>2016</v>
      </c>
      <c r="M372" s="345">
        <v>2017</v>
      </c>
      <c r="N372" s="345">
        <v>2018</v>
      </c>
      <c r="O372" s="345">
        <v>2019</v>
      </c>
      <c r="P372" s="345">
        <v>2020</v>
      </c>
      <c r="Q372" s="345">
        <v>2021</v>
      </c>
      <c r="R372" s="345">
        <v>2022</v>
      </c>
      <c r="S372" s="345">
        <v>2023</v>
      </c>
      <c r="T372" s="346">
        <v>2024</v>
      </c>
      <c r="U372" s="322"/>
    </row>
    <row r="373" spans="3:22" ht="17.149999999999999" customHeight="1">
      <c r="C373" s="65" t="s">
        <v>527</v>
      </c>
      <c r="D373" s="63"/>
      <c r="E373" s="63"/>
      <c r="F373" s="63"/>
      <c r="G373" s="91"/>
      <c r="H373" s="988">
        <f t="shared" ref="H373:T373" si="105">H370/H13</f>
        <v>4472368.4846952697</v>
      </c>
      <c r="I373" s="988">
        <f t="shared" si="105"/>
        <v>4394779.1893910822</v>
      </c>
      <c r="J373" s="988">
        <f t="shared" si="105"/>
        <v>4556716.4903573403</v>
      </c>
      <c r="K373" s="988">
        <f t="shared" si="105"/>
        <v>4805916.237503848</v>
      </c>
      <c r="L373" s="988">
        <f t="shared" si="105"/>
        <v>5002158.0079373699</v>
      </c>
      <c r="M373" s="988">
        <f t="shared" si="105"/>
        <v>4866326.9827466663</v>
      </c>
      <c r="N373" s="988">
        <f t="shared" si="105"/>
        <v>4828817.0070332969</v>
      </c>
      <c r="O373" s="988">
        <f t="shared" si="105"/>
        <v>4350185.6437504189</v>
      </c>
      <c r="P373" s="988">
        <f t="shared" si="105"/>
        <v>4398307.2119712904</v>
      </c>
      <c r="Q373" s="988">
        <f t="shared" si="105"/>
        <v>4192296.7357944446</v>
      </c>
      <c r="R373" s="988">
        <f t="shared" si="105"/>
        <v>4044576.8860263447</v>
      </c>
      <c r="S373" s="988">
        <f t="shared" si="105"/>
        <v>2396857.1682064403</v>
      </c>
      <c r="T373" s="989">
        <f t="shared" si="105"/>
        <v>3025600.486082131</v>
      </c>
      <c r="U373" s="322"/>
    </row>
    <row r="374" spans="3:22" ht="17.149999999999999" customHeight="1">
      <c r="U374" s="322"/>
    </row>
    <row r="375" spans="3:22" ht="17.149999999999999" customHeight="1">
      <c r="C375" s="15" t="s">
        <v>528</v>
      </c>
      <c r="G375" s="344">
        <v>2011</v>
      </c>
      <c r="H375" s="345">
        <v>2012</v>
      </c>
      <c r="I375" s="345">
        <v>2013</v>
      </c>
      <c r="J375" s="345">
        <v>2014</v>
      </c>
      <c r="K375" s="345">
        <v>2015</v>
      </c>
      <c r="L375" s="345">
        <v>2016</v>
      </c>
      <c r="M375" s="345">
        <v>2017</v>
      </c>
      <c r="N375" s="345">
        <v>2018</v>
      </c>
      <c r="O375" s="345">
        <v>2019</v>
      </c>
      <c r="P375" s="345">
        <v>2020</v>
      </c>
      <c r="Q375" s="345">
        <v>2021</v>
      </c>
      <c r="R375" s="345">
        <v>2022</v>
      </c>
      <c r="S375" s="345">
        <v>2023</v>
      </c>
      <c r="T375" s="346">
        <v>2024</v>
      </c>
    </row>
    <row r="376" spans="3:22" ht="17.149999999999999" customHeight="1">
      <c r="C376" t="s">
        <v>529</v>
      </c>
      <c r="G376" s="71"/>
      <c r="J376" s="986">
        <f>J370</f>
        <v>483923291.27594948</v>
      </c>
      <c r="K376" s="986">
        <f t="shared" ref="K376:T376" si="106">$M$373*K13</f>
        <v>535295968.10213327</v>
      </c>
      <c r="L376" s="986">
        <f t="shared" si="106"/>
        <v>505124740.80910397</v>
      </c>
      <c r="M376" s="986">
        <f t="shared" si="106"/>
        <v>523738441.51810998</v>
      </c>
      <c r="N376" s="986">
        <f t="shared" si="106"/>
        <v>527874819.4534446</v>
      </c>
      <c r="O376" s="986">
        <f t="shared" si="106"/>
        <v>568143675.23567331</v>
      </c>
      <c r="P376" s="986">
        <f t="shared" si="106"/>
        <v>572036736.82187068</v>
      </c>
      <c r="Q376" s="986">
        <f t="shared" si="106"/>
        <v>587122350.46838534</v>
      </c>
      <c r="R376" s="986">
        <f t="shared" si="106"/>
        <v>678244323.22031665</v>
      </c>
      <c r="S376" s="986">
        <f t="shared" si="106"/>
        <v>1199062968.5487788</v>
      </c>
      <c r="T376" s="1324">
        <f t="shared" si="106"/>
        <v>986526137.57731795</v>
      </c>
      <c r="U376" s="322"/>
    </row>
    <row r="377" spans="3:22" ht="17.149999999999999" customHeight="1">
      <c r="C377" t="s">
        <v>530</v>
      </c>
      <c r="G377" s="91"/>
      <c r="H377" s="92"/>
      <c r="I377" s="92"/>
      <c r="J377" s="988">
        <f>J370-J376</f>
        <v>0</v>
      </c>
      <c r="K377" s="988">
        <f>K370-K376</f>
        <v>-6645181.9767099619</v>
      </c>
      <c r="L377" s="988">
        <f>L370-L376</f>
        <v>14099260.414794981</v>
      </c>
      <c r="M377" s="988">
        <f t="shared" ref="M377:T377" si="107">M370-M376</f>
        <v>0</v>
      </c>
      <c r="N377" s="988">
        <f t="shared" si="107"/>
        <v>-4068894.6155077815</v>
      </c>
      <c r="O377" s="988">
        <f t="shared" si="107"/>
        <v>-60259501.327811897</v>
      </c>
      <c r="P377" s="988">
        <f t="shared" si="107"/>
        <v>-55015724.054645479</v>
      </c>
      <c r="Q377" s="988">
        <f t="shared" si="107"/>
        <v>-81321749.294785559</v>
      </c>
      <c r="R377" s="988">
        <f t="shared" si="107"/>
        <v>-114531419.73039484</v>
      </c>
      <c r="S377" s="988">
        <f t="shared" si="107"/>
        <v>-608477362.30271184</v>
      </c>
      <c r="T377" s="989">
        <f t="shared" si="107"/>
        <v>-373161279.03631794</v>
      </c>
      <c r="U377" s="322"/>
    </row>
    <row r="378" spans="3:22" ht="17.149999999999999" customHeight="1">
      <c r="U378" s="322"/>
    </row>
    <row r="379" spans="3:22" ht="17.149999999999999" customHeight="1">
      <c r="C379" s="15" t="s">
        <v>531</v>
      </c>
      <c r="U379" s="322"/>
    </row>
    <row r="380" spans="3:22" ht="17.149999999999999" customHeight="1">
      <c r="G380" s="191">
        <v>2017</v>
      </c>
      <c r="H380" s="594" t="s">
        <v>532</v>
      </c>
      <c r="I380" s="595" t="s">
        <v>533</v>
      </c>
      <c r="J380" s="595" t="s">
        <v>534</v>
      </c>
      <c r="K380" s="595" t="s">
        <v>535</v>
      </c>
      <c r="L380" s="191">
        <v>2022</v>
      </c>
      <c r="V380" s="322"/>
    </row>
    <row r="381" spans="3:22" ht="17.149999999999999" customHeight="1">
      <c r="C381" s="65" t="s">
        <v>400</v>
      </c>
      <c r="D381" s="63"/>
      <c r="E381" s="63"/>
      <c r="F381" s="64"/>
      <c r="G381" s="992">
        <f>M370</f>
        <v>523738441.51810998</v>
      </c>
      <c r="H381" s="992">
        <f>R370-M370</f>
        <v>39974461.971811831</v>
      </c>
      <c r="I381" s="990">
        <f>(R13-M13)*M373</f>
        <v>154505881.70220664</v>
      </c>
      <c r="J381" s="990">
        <f>(R373-M373)*M13</f>
        <v>-88440854.159524605</v>
      </c>
      <c r="K381" s="991">
        <f>H381-(I381+J381)</f>
        <v>-26090565.570870206</v>
      </c>
      <c r="L381" s="991">
        <f>R370</f>
        <v>563712903.48992181</v>
      </c>
      <c r="V381" s="322"/>
    </row>
    <row r="382" spans="3:22" ht="17.149999999999999" customHeight="1">
      <c r="U382" s="322"/>
    </row>
    <row r="383" spans="3:22">
      <c r="C383" s="15" t="s">
        <v>536</v>
      </c>
    </row>
    <row r="384" spans="3:22">
      <c r="C384" s="594"/>
      <c r="D384" s="594" t="s">
        <v>1222</v>
      </c>
      <c r="E384" s="594" t="s">
        <v>537</v>
      </c>
      <c r="F384" s="595" t="s">
        <v>1223</v>
      </c>
      <c r="G384" s="595" t="s">
        <v>538</v>
      </c>
      <c r="H384" s="595" t="s">
        <v>1224</v>
      </c>
      <c r="I384" s="595" t="s">
        <v>539</v>
      </c>
      <c r="J384" s="595" t="s">
        <v>1225</v>
      </c>
      <c r="K384" s="595" t="s">
        <v>540</v>
      </c>
      <c r="L384" s="595" t="s">
        <v>1223</v>
      </c>
      <c r="M384" s="595" t="s">
        <v>538</v>
      </c>
      <c r="N384" s="602" t="s">
        <v>1224</v>
      </c>
      <c r="O384" s="595" t="s">
        <v>539</v>
      </c>
      <c r="P384" s="602" t="s">
        <v>1225</v>
      </c>
      <c r="Q384" s="595" t="s">
        <v>540</v>
      </c>
    </row>
    <row r="385" spans="3:38">
      <c r="C385" s="187" t="s">
        <v>420</v>
      </c>
      <c r="D385" s="598">
        <f>T127-J127</f>
        <v>1067314129.2752757</v>
      </c>
      <c r="E385" s="604">
        <f>S127-M127</f>
        <v>1184524708.6443498</v>
      </c>
      <c r="F385" s="596">
        <f>(T13-J13)*J175</f>
        <v>1457725208.507061</v>
      </c>
      <c r="G385" s="605">
        <f>(S13-M13)*M175</f>
        <v>2089216784.8010101</v>
      </c>
      <c r="H385" s="611">
        <f>(T175-J175)*J13</f>
        <v>-204521675.24683979</v>
      </c>
      <c r="I385" s="606">
        <f>(S175-M175)*M13</f>
        <v>-395160246.3326323</v>
      </c>
      <c r="J385" s="611">
        <f>D385-(F385+H385)</f>
        <v>-185889403.98494554</v>
      </c>
      <c r="K385" s="606">
        <f>E385-(G385+I385)</f>
        <v>-509531829.82402802</v>
      </c>
      <c r="L385" s="600">
        <f>F385/D385</f>
        <v>1.3657883546401479</v>
      </c>
      <c r="M385" s="372">
        <f>G385/E385</f>
        <v>1.7637595649583799</v>
      </c>
      <c r="N385" s="601">
        <f>H385/D385</f>
        <v>-0.19162275625987774</v>
      </c>
      <c r="O385" s="371">
        <f>I385/E385</f>
        <v>-0.33360236679645155</v>
      </c>
      <c r="P385" s="601">
        <f>J385/D385</f>
        <v>-0.17416559838027026</v>
      </c>
      <c r="Q385" s="371">
        <f>K385/E385</f>
        <v>-0.43015719816192832</v>
      </c>
    </row>
    <row r="386" spans="3:38">
      <c r="C386" s="187" t="s">
        <v>193</v>
      </c>
      <c r="D386" s="599">
        <f>T128-J128</f>
        <v>524294659.99487233</v>
      </c>
      <c r="E386" s="999">
        <f>S128-M128</f>
        <v>581871786.70248759</v>
      </c>
      <c r="F386" s="596">
        <f>(T29-J29)*J176</f>
        <v>646226018.64852738</v>
      </c>
      <c r="G386" s="605">
        <f>(S29-M29)*M176</f>
        <v>1103078214.5646677</v>
      </c>
      <c r="H386" s="596">
        <f>(T176-J176)*J29</f>
        <v>-66986422.165088296</v>
      </c>
      <c r="I386" s="605">
        <f>(S176-M176)*M29</f>
        <v>-218451059.55507392</v>
      </c>
      <c r="J386" s="596">
        <f t="shared" ref="J386:K391" si="108">D386-(F386+H386)</f>
        <v>-54944936.488566756</v>
      </c>
      <c r="K386" s="605">
        <f t="shared" si="108"/>
        <v>-302755368.30710614</v>
      </c>
      <c r="L386" s="600">
        <f t="shared" ref="L386:M391" si="109">F386/D386</f>
        <v>1.2325626559973881</v>
      </c>
      <c r="M386" s="372">
        <f t="shared" si="109"/>
        <v>1.8957410202269769</v>
      </c>
      <c r="N386" s="600">
        <f t="shared" ref="N386:O391" si="110">H386/D386</f>
        <v>-0.12776483774552164</v>
      </c>
      <c r="O386" s="372">
        <f t="shared" si="110"/>
        <v>-0.37542816913851929</v>
      </c>
      <c r="P386" s="600">
        <f t="shared" ref="P386:Q391" si="111">J386/D386</f>
        <v>-0.10479781825186647</v>
      </c>
      <c r="Q386" s="372">
        <f t="shared" si="111"/>
        <v>-0.52031285108845748</v>
      </c>
    </row>
    <row r="387" spans="3:38">
      <c r="C387" s="187" t="s">
        <v>421</v>
      </c>
      <c r="D387" s="599">
        <f>T129-J129</f>
        <v>112348855.71318692</v>
      </c>
      <c r="E387" s="607">
        <f>S129-M129</f>
        <v>124686811.43624729</v>
      </c>
      <c r="F387" s="596">
        <f>(T41-J41)/J177</f>
        <v>1.5036091521470532E-9</v>
      </c>
      <c r="G387" s="605">
        <f>(S41-M41)*M177</f>
        <v>127533369.95022479</v>
      </c>
      <c r="H387" s="596">
        <f>(T177-J177)*J41</f>
        <v>33315022.298269339</v>
      </c>
      <c r="I387" s="605">
        <f>(S177-M177)*M41</f>
        <v>-1628689.9463938172</v>
      </c>
      <c r="J387" s="596">
        <f>D387-(F387+H387)</f>
        <v>79033833.414917588</v>
      </c>
      <c r="K387" s="605">
        <f>E387-(G387+I387)</f>
        <v>-1217868.5675836802</v>
      </c>
      <c r="L387" s="600">
        <f>F387/D387</f>
        <v>1.3383395341253729E-17</v>
      </c>
      <c r="M387" s="372">
        <f>G387/E387</f>
        <v>1.0228296680393736</v>
      </c>
      <c r="N387" s="600">
        <f t="shared" si="110"/>
        <v>0.29653192359447411</v>
      </c>
      <c r="O387" s="372">
        <f t="shared" si="110"/>
        <v>-1.3062247142526143E-2</v>
      </c>
      <c r="P387" s="600">
        <f t="shared" si="111"/>
        <v>0.703468076405526</v>
      </c>
      <c r="Q387" s="372">
        <f t="shared" si="111"/>
        <v>-9.7674208968474563E-3</v>
      </c>
    </row>
    <row r="388" spans="3:38">
      <c r="C388" s="187" t="s">
        <v>423</v>
      </c>
      <c r="D388" s="599">
        <f>T130-J130</f>
        <v>131073664.99871808</v>
      </c>
      <c r="E388" s="607">
        <f>R130-M130</f>
        <v>68267545.914061815</v>
      </c>
      <c r="F388" s="596">
        <f>(T76-J76)*J178</f>
        <v>104010517.66996737</v>
      </c>
      <c r="G388" s="605">
        <f>(Q76-M76)*M178</f>
        <v>24316547.502459146</v>
      </c>
      <c r="H388" s="596">
        <f>(T178-J178)*J76</f>
        <v>17710641.393134959</v>
      </c>
      <c r="I388" s="98">
        <f>(R178-M178)*M76</f>
        <v>-9575694.75722632</v>
      </c>
      <c r="J388" s="596">
        <f>D388-(F388+H388)</f>
        <v>9352505.9356157482</v>
      </c>
      <c r="K388" s="98"/>
      <c r="L388" s="600">
        <f t="shared" si="109"/>
        <v>0.79352719458164689</v>
      </c>
      <c r="M388" s="372">
        <f t="shared" si="109"/>
        <v>0.35619483865832652</v>
      </c>
      <c r="N388" s="600">
        <f t="shared" si="110"/>
        <v>0.13511975417264918</v>
      </c>
      <c r="O388" s="332"/>
      <c r="P388" s="600">
        <f t="shared" si="111"/>
        <v>7.1353051245703833E-2</v>
      </c>
      <c r="Q388" s="459"/>
    </row>
    <row r="389" spans="3:38">
      <c r="C389" s="187" t="s">
        <v>426</v>
      </c>
      <c r="D389" s="599"/>
      <c r="E389" s="608"/>
      <c r="F389" s="610"/>
      <c r="G389" s="98"/>
      <c r="H389" s="610"/>
      <c r="I389" s="98"/>
      <c r="J389" s="596"/>
      <c r="K389" s="98"/>
      <c r="L389" s="600" t="e">
        <f t="shared" si="109"/>
        <v>#DIV/0!</v>
      </c>
      <c r="M389" s="97"/>
      <c r="N389" s="600" t="e">
        <f t="shared" si="110"/>
        <v>#DIV/0!</v>
      </c>
      <c r="O389" s="332"/>
      <c r="P389" s="600" t="e">
        <f t="shared" si="111"/>
        <v>#DIV/0!</v>
      </c>
      <c r="Q389" s="459"/>
    </row>
    <row r="390" spans="3:38">
      <c r="C390" s="71" t="s">
        <v>436</v>
      </c>
      <c r="D390" s="596">
        <f>T236-J236</f>
        <v>94695170.412292957</v>
      </c>
      <c r="E390" s="605">
        <f>S236-M236</f>
        <v>166503473.84854192</v>
      </c>
      <c r="F390" s="596">
        <f>(T64-J64)*J301</f>
        <v>151819805.15439427</v>
      </c>
      <c r="G390" s="605">
        <f>(S64-M64)*M301</f>
        <v>194412677.35430184</v>
      </c>
      <c r="H390" s="596">
        <f>(T301-J301)*J64</f>
        <v>-43343088.394188829</v>
      </c>
      <c r="I390" s="605">
        <f>(S301-M301)*M64</f>
        <v>-19165926.976330295</v>
      </c>
      <c r="J390" s="596">
        <f t="shared" si="108"/>
        <v>-13781546.34791249</v>
      </c>
      <c r="K390" s="605">
        <f t="shared" si="108"/>
        <v>-8743276.5294296145</v>
      </c>
      <c r="L390" s="600">
        <f t="shared" si="109"/>
        <v>1.6032476048502429</v>
      </c>
      <c r="M390" s="372">
        <f t="shared" si="109"/>
        <v>1.1676193466758971</v>
      </c>
      <c r="N390" s="600">
        <f t="shared" si="110"/>
        <v>-0.45771171016935197</v>
      </c>
      <c r="O390" s="372">
        <f t="shared" si="110"/>
        <v>-0.11510827091670396</v>
      </c>
      <c r="P390" s="600">
        <f t="shared" si="111"/>
        <v>-0.14553589468089098</v>
      </c>
      <c r="Q390" s="372">
        <f t="shared" si="111"/>
        <v>-5.2511075759193115E-2</v>
      </c>
    </row>
    <row r="391" spans="3:38">
      <c r="C391" s="91" t="s">
        <v>437</v>
      </c>
      <c r="D391" s="597">
        <f>T237-J237</f>
        <v>29244096.744972765</v>
      </c>
      <c r="E391" s="609">
        <f>S237-M237</f>
        <v>51420190.453226179</v>
      </c>
      <c r="F391" s="597">
        <f>(T68-J68)*J302</f>
        <v>32778405.063109577</v>
      </c>
      <c r="G391" s="609">
        <f>(S68-M68)*M302</f>
        <v>46787623.925594285</v>
      </c>
      <c r="H391" s="597">
        <f>(T302-J302)*J68</f>
        <v>-2891537.7664838135</v>
      </c>
      <c r="I391" s="609">
        <f>(S302-M302)*M68</f>
        <v>3417605.510164605</v>
      </c>
      <c r="J391" s="597">
        <f t="shared" si="108"/>
        <v>-642770.55165299773</v>
      </c>
      <c r="K391" s="609">
        <f t="shared" si="108"/>
        <v>1214961.0174672902</v>
      </c>
      <c r="L391" s="603">
        <f t="shared" si="109"/>
        <v>1.1208554447401211</v>
      </c>
      <c r="M391" s="373">
        <f t="shared" si="109"/>
        <v>0.90990763575942302</v>
      </c>
      <c r="N391" s="603">
        <f t="shared" si="110"/>
        <v>-9.8875947227909725E-2</v>
      </c>
      <c r="O391" s="373">
        <f t="shared" si="110"/>
        <v>6.6464271719751666E-2</v>
      </c>
      <c r="P391" s="603">
        <f t="shared" si="111"/>
        <v>-2.1979497512211378E-2</v>
      </c>
      <c r="Q391" s="373">
        <f t="shared" si="111"/>
        <v>2.3628092520825383E-2</v>
      </c>
    </row>
    <row r="394" spans="3:38">
      <c r="C394" s="996" t="s">
        <v>542</v>
      </c>
      <c r="D394" s="997"/>
      <c r="E394" s="997"/>
      <c r="F394" s="997"/>
      <c r="G394" s="997"/>
      <c r="H394" s="997"/>
      <c r="I394" s="997"/>
      <c r="J394" s="997"/>
      <c r="K394" s="997"/>
      <c r="L394" s="997"/>
      <c r="M394" s="997"/>
      <c r="N394" s="997"/>
      <c r="O394" s="997"/>
      <c r="P394" s="997"/>
      <c r="Q394" s="997"/>
      <c r="R394" s="997"/>
      <c r="S394" s="997"/>
      <c r="T394" s="997"/>
      <c r="U394" s="997"/>
      <c r="V394" s="997"/>
      <c r="W394" s="997"/>
      <c r="X394" s="997"/>
      <c r="Y394" s="997"/>
      <c r="Z394" s="997"/>
      <c r="AA394" s="997"/>
      <c r="AB394" s="997"/>
      <c r="AC394" s="997"/>
      <c r="AD394" s="997"/>
      <c r="AE394" s="997"/>
      <c r="AF394" s="997"/>
      <c r="AG394" s="997"/>
      <c r="AH394" s="997"/>
      <c r="AI394" s="997"/>
      <c r="AJ394" s="997"/>
      <c r="AK394" s="997"/>
      <c r="AL394" s="997"/>
    </row>
    <row r="395" spans="3:38">
      <c r="C395" s="993" t="s">
        <v>255</v>
      </c>
      <c r="D395" s="993">
        <v>1990</v>
      </c>
      <c r="E395" s="993">
        <v>1991</v>
      </c>
      <c r="F395" s="993">
        <v>1992</v>
      </c>
      <c r="G395" s="993">
        <v>1993</v>
      </c>
      <c r="H395" s="993">
        <v>1994</v>
      </c>
      <c r="I395" s="993">
        <v>1995</v>
      </c>
      <c r="J395" s="993">
        <v>1996</v>
      </c>
      <c r="K395" s="993">
        <v>1997</v>
      </c>
      <c r="L395" s="993">
        <v>1998</v>
      </c>
      <c r="M395" s="993">
        <v>1999</v>
      </c>
      <c r="N395" s="993">
        <v>2000</v>
      </c>
      <c r="O395" s="993">
        <v>2001</v>
      </c>
      <c r="P395" s="993">
        <v>2002</v>
      </c>
      <c r="Q395" s="993">
        <v>2003</v>
      </c>
      <c r="R395" s="993">
        <v>2004</v>
      </c>
      <c r="S395" s="993">
        <v>2005</v>
      </c>
      <c r="T395" s="993">
        <v>2006</v>
      </c>
      <c r="U395" s="993">
        <v>2007</v>
      </c>
      <c r="V395" s="993">
        <v>2008</v>
      </c>
      <c r="W395" s="993">
        <v>2009</v>
      </c>
      <c r="X395" s="993">
        <v>2010</v>
      </c>
      <c r="Y395" s="993">
        <v>2011</v>
      </c>
      <c r="Z395" s="993">
        <v>2012</v>
      </c>
      <c r="AA395" s="993">
        <v>2013</v>
      </c>
      <c r="AB395" s="993">
        <v>2014</v>
      </c>
      <c r="AC395" s="993">
        <v>2015</v>
      </c>
      <c r="AD395" s="993">
        <v>2016</v>
      </c>
      <c r="AE395" s="993">
        <v>2017</v>
      </c>
      <c r="AF395" s="993">
        <v>2018</v>
      </c>
      <c r="AG395" s="993">
        <v>2019</v>
      </c>
      <c r="AH395" s="993">
        <v>2020</v>
      </c>
      <c r="AI395" s="993">
        <v>2021</v>
      </c>
      <c r="AJ395" s="993">
        <v>2022</v>
      </c>
      <c r="AK395" s="993">
        <v>2023</v>
      </c>
      <c r="AL395" s="993">
        <v>2024</v>
      </c>
    </row>
    <row r="396" spans="3:38">
      <c r="C396" s="998" t="s">
        <v>543</v>
      </c>
      <c r="D396" s="994">
        <v>1978</v>
      </c>
      <c r="E396" s="994">
        <v>1978</v>
      </c>
      <c r="F396" s="994">
        <v>1978</v>
      </c>
      <c r="G396" s="994">
        <v>1978</v>
      </c>
      <c r="H396" s="994">
        <v>1978</v>
      </c>
      <c r="I396" s="994">
        <v>1978</v>
      </c>
      <c r="J396" s="994">
        <v>1978</v>
      </c>
      <c r="K396" s="994">
        <v>1978</v>
      </c>
      <c r="L396" s="994">
        <v>1978</v>
      </c>
      <c r="M396" s="994">
        <v>1978</v>
      </c>
      <c r="N396" s="994">
        <v>1978</v>
      </c>
      <c r="O396" s="994">
        <v>1978</v>
      </c>
      <c r="P396" s="994">
        <v>1978</v>
      </c>
      <c r="Q396" s="994">
        <v>1978</v>
      </c>
      <c r="R396" s="994">
        <v>1978</v>
      </c>
      <c r="S396" s="994">
        <v>1978</v>
      </c>
      <c r="T396" s="994">
        <v>1978</v>
      </c>
      <c r="U396" s="994">
        <v>1978</v>
      </c>
      <c r="V396" s="994">
        <v>1978</v>
      </c>
      <c r="W396" s="994">
        <v>1978</v>
      </c>
      <c r="X396" s="994">
        <v>1978</v>
      </c>
      <c r="Y396" s="994">
        <v>1978</v>
      </c>
      <c r="Z396" s="994">
        <v>1978</v>
      </c>
      <c r="AA396" s="994">
        <v>1978</v>
      </c>
      <c r="AB396" s="994">
        <v>1978</v>
      </c>
      <c r="AC396" s="994">
        <v>1978</v>
      </c>
      <c r="AD396" s="994">
        <v>1978</v>
      </c>
      <c r="AE396" s="994">
        <v>1978</v>
      </c>
      <c r="AF396" s="994">
        <v>1978</v>
      </c>
      <c r="AG396" s="994">
        <v>1978</v>
      </c>
      <c r="AH396" s="994">
        <v>1978</v>
      </c>
      <c r="AI396" s="994">
        <v>1978</v>
      </c>
      <c r="AJ396" s="994">
        <v>1978</v>
      </c>
      <c r="AK396" s="994">
        <v>1978</v>
      </c>
      <c r="AL396" s="994">
        <v>1978</v>
      </c>
    </row>
    <row r="397" spans="3:38">
      <c r="C397" s="998" t="s">
        <v>544</v>
      </c>
      <c r="D397" s="994">
        <v>1851</v>
      </c>
      <c r="E397" s="994">
        <v>2268</v>
      </c>
      <c r="F397" s="994">
        <v>2103</v>
      </c>
      <c r="G397" s="994">
        <v>2104</v>
      </c>
      <c r="H397" s="994">
        <v>1827</v>
      </c>
      <c r="I397" s="994">
        <v>1958</v>
      </c>
      <c r="J397" s="994">
        <v>2248</v>
      </c>
      <c r="K397" s="994">
        <v>1945</v>
      </c>
      <c r="L397" s="994">
        <v>2056</v>
      </c>
      <c r="M397" s="994">
        <v>1966</v>
      </c>
      <c r="N397" s="994">
        <v>1879</v>
      </c>
      <c r="O397" s="994">
        <v>1984</v>
      </c>
      <c r="P397" s="994">
        <v>1797</v>
      </c>
      <c r="Q397" s="994">
        <v>2054</v>
      </c>
      <c r="R397" s="994">
        <v>2100</v>
      </c>
      <c r="S397" s="994">
        <v>2107</v>
      </c>
      <c r="T397" s="994">
        <v>1994</v>
      </c>
      <c r="U397" s="994">
        <v>1840</v>
      </c>
      <c r="V397" s="994">
        <v>1998</v>
      </c>
      <c r="W397" s="994">
        <v>2034</v>
      </c>
      <c r="X397" s="994">
        <v>2355</v>
      </c>
      <c r="Y397" s="994">
        <v>1701</v>
      </c>
      <c r="Z397" s="994">
        <v>2032</v>
      </c>
      <c r="AA397" s="994">
        <v>2204</v>
      </c>
      <c r="AB397" s="994">
        <v>1671</v>
      </c>
      <c r="AC397" s="994">
        <v>1819</v>
      </c>
      <c r="AD397" s="994">
        <v>2015</v>
      </c>
      <c r="AE397" s="994">
        <v>1918</v>
      </c>
      <c r="AF397" s="994">
        <v>1835</v>
      </c>
      <c r="AG397" s="994">
        <v>1857</v>
      </c>
      <c r="AH397" s="994">
        <v>1666</v>
      </c>
      <c r="AI397" s="994">
        <v>2033</v>
      </c>
      <c r="AJ397" s="994">
        <v>1693</v>
      </c>
      <c r="AK397" s="994">
        <v>1709</v>
      </c>
      <c r="AL397" s="994">
        <v>1683</v>
      </c>
    </row>
    <row r="398" spans="3:38">
      <c r="C398" s="998" t="s">
        <v>545</v>
      </c>
      <c r="D398" s="995">
        <v>0.93600000000000005</v>
      </c>
      <c r="E398" s="995">
        <v>1.1459999999999999</v>
      </c>
      <c r="F398" s="995">
        <v>1.0629999999999999</v>
      </c>
      <c r="G398" s="995">
        <v>1.0640000000000001</v>
      </c>
      <c r="H398" s="995">
        <v>0.92400000000000004</v>
      </c>
      <c r="I398" s="995">
        <v>0.99</v>
      </c>
      <c r="J398" s="995">
        <v>1.137</v>
      </c>
      <c r="K398" s="995">
        <v>0.98299999999999998</v>
      </c>
      <c r="L398" s="995">
        <v>1.0389999999999999</v>
      </c>
      <c r="M398" s="995">
        <v>0.99399999999999999</v>
      </c>
      <c r="N398" s="995">
        <v>0.95</v>
      </c>
      <c r="O398" s="995">
        <v>1.0029999999999999</v>
      </c>
      <c r="P398" s="995">
        <v>0.90900000000000003</v>
      </c>
      <c r="Q398" s="995">
        <v>1.0389999999999999</v>
      </c>
      <c r="R398" s="995">
        <v>1.0620000000000001</v>
      </c>
      <c r="S398" s="995">
        <v>1.0649999999999999</v>
      </c>
      <c r="T398" s="995">
        <v>1.008</v>
      </c>
      <c r="U398" s="995">
        <v>0.93</v>
      </c>
      <c r="V398" s="995">
        <v>1.01</v>
      </c>
      <c r="W398" s="995">
        <v>1.0289999999999999</v>
      </c>
      <c r="X398" s="995">
        <v>1.1910000000000001</v>
      </c>
      <c r="Y398" s="995">
        <v>0.86</v>
      </c>
      <c r="Z398" s="995">
        <v>1.028</v>
      </c>
      <c r="AA398" s="995">
        <v>1.115</v>
      </c>
      <c r="AB398" s="995">
        <v>0.84499999999999997</v>
      </c>
      <c r="AC398" s="995">
        <v>0.92</v>
      </c>
      <c r="AD398" s="995">
        <v>1.0189999999999999</v>
      </c>
      <c r="AE398" s="995">
        <v>0.97</v>
      </c>
      <c r="AF398" s="995">
        <v>0.92800000000000005</v>
      </c>
      <c r="AG398" s="995">
        <v>0.93899999999999995</v>
      </c>
      <c r="AH398" s="995">
        <v>0.84199999999999997</v>
      </c>
      <c r="AI398" s="995">
        <v>1.028</v>
      </c>
      <c r="AJ398" s="995">
        <v>0.85599999999999998</v>
      </c>
      <c r="AK398" s="995">
        <v>0.86399999999999999</v>
      </c>
      <c r="AL398" s="995">
        <v>0.85099999999999998</v>
      </c>
    </row>
    <row r="399" spans="3:38">
      <c r="F399" s="322"/>
    </row>
    <row r="400" spans="3:38">
      <c r="F400" s="322"/>
    </row>
  </sheetData>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459B6-EBBF-47A4-9A00-6C739D89B53E}">
  <dimension ref="A2:T119"/>
  <sheetViews>
    <sheetView topLeftCell="A39" zoomScale="41" zoomScaleNormal="55" workbookViewId="0">
      <selection activeCell="M122" sqref="M122"/>
    </sheetView>
  </sheetViews>
  <sheetFormatPr baseColWidth="10" defaultRowHeight="14.5"/>
  <cols>
    <col min="7" max="7" width="13.6328125" bestFit="1" customWidth="1"/>
    <col min="8" max="20" width="13.453125" bestFit="1" customWidth="1"/>
  </cols>
  <sheetData>
    <row r="2" spans="3:20">
      <c r="C2" s="465" t="s">
        <v>1234</v>
      </c>
      <c r="G2" s="111">
        <v>2011</v>
      </c>
      <c r="H2" s="111">
        <v>2012</v>
      </c>
      <c r="I2" s="111">
        <v>2013</v>
      </c>
      <c r="J2" s="111">
        <v>2014</v>
      </c>
      <c r="K2" s="111">
        <v>2015</v>
      </c>
      <c r="L2" s="111">
        <v>2016</v>
      </c>
      <c r="M2" s="111">
        <v>2017</v>
      </c>
      <c r="N2" s="111">
        <v>2018</v>
      </c>
      <c r="O2" s="111">
        <v>2019</v>
      </c>
      <c r="P2" s="111">
        <v>2020</v>
      </c>
      <c r="Q2" s="111">
        <v>2021</v>
      </c>
      <c r="R2" s="111">
        <v>2022</v>
      </c>
      <c r="S2" s="111">
        <v>2023</v>
      </c>
      <c r="T2" s="111">
        <v>2024</v>
      </c>
    </row>
    <row r="3" spans="3:20">
      <c r="C3" s="1375" t="s">
        <v>193</v>
      </c>
      <c r="D3" s="70"/>
      <c r="E3" s="70"/>
      <c r="F3" s="29"/>
      <c r="G3" s="1389">
        <v>0.68698075546177306</v>
      </c>
      <c r="H3" s="1390">
        <v>0.68899327202186422</v>
      </c>
      <c r="I3" s="1390">
        <v>0.68977133157141257</v>
      </c>
      <c r="J3" s="1390">
        <v>0.70513684887644745</v>
      </c>
      <c r="K3" s="1390">
        <v>0.70704210771620013</v>
      </c>
      <c r="L3" s="1390">
        <v>0.71123254932782709</v>
      </c>
      <c r="M3" s="1390">
        <v>0.71525230897050063</v>
      </c>
      <c r="N3" s="1390">
        <v>0.71515062033181132</v>
      </c>
      <c r="O3" s="1390">
        <v>0.71812448214640934</v>
      </c>
      <c r="P3" s="1390">
        <v>0.71825078560404587</v>
      </c>
      <c r="Q3" s="1390">
        <v>0.71851620241663816</v>
      </c>
      <c r="R3" s="1390">
        <v>0.72346545056899514</v>
      </c>
      <c r="S3" s="1390">
        <v>0.72061662297038109</v>
      </c>
      <c r="T3" s="1391">
        <v>0.72301726947462397</v>
      </c>
    </row>
    <row r="4" spans="3:20">
      <c r="C4" s="496" t="s">
        <v>421</v>
      </c>
      <c r="F4" s="31"/>
      <c r="G4" s="1392">
        <v>0.14721016188466565</v>
      </c>
      <c r="H4" s="1393">
        <v>0.1476414154332566</v>
      </c>
      <c r="I4" s="1393">
        <v>0.14780814247958837</v>
      </c>
      <c r="J4" s="1393">
        <v>0.15110075333066728</v>
      </c>
      <c r="K4" s="1393">
        <v>0.15154126590457578</v>
      </c>
      <c r="L4" s="1393">
        <v>0.152469334501976</v>
      </c>
      <c r="M4" s="1393">
        <v>0.15339081964252357</v>
      </c>
      <c r="N4" s="1393">
        <v>0.15346624733430372</v>
      </c>
      <c r="O4" s="1393">
        <v>0.15425702007071501</v>
      </c>
      <c r="P4" s="1393">
        <v>0.15461076675879923</v>
      </c>
      <c r="Q4" s="1393">
        <v>0.1553894054123531</v>
      </c>
      <c r="R4" s="1393">
        <v>0.15736710000831125</v>
      </c>
      <c r="S4" s="1393">
        <v>0.15786281569991711</v>
      </c>
      <c r="T4" s="1394">
        <v>0.15964442293628395</v>
      </c>
    </row>
    <row r="5" spans="3:20">
      <c r="C5" s="496" t="s">
        <v>423</v>
      </c>
      <c r="F5" s="31"/>
      <c r="G5" s="1392">
        <v>0.11673902869200607</v>
      </c>
      <c r="H5" s="1393">
        <v>0.11415150740046026</v>
      </c>
      <c r="I5" s="1393">
        <v>0.1131511451224696</v>
      </c>
      <c r="J5" s="1393">
        <v>9.3395480015996402E-2</v>
      </c>
      <c r="K5" s="1393">
        <v>9.0902871077698719E-2</v>
      </c>
      <c r="L5" s="1393">
        <v>8.547500466953821E-2</v>
      </c>
      <c r="M5" s="1393">
        <v>8.0226598172801158E-2</v>
      </c>
      <c r="N5" s="1393">
        <v>8.0227716555783729E-2</v>
      </c>
      <c r="O5" s="1393">
        <v>7.6199491092637434E-2</v>
      </c>
      <c r="P5" s="1393">
        <v>7.5601525384221616E-2</v>
      </c>
      <c r="Q5" s="1393">
        <v>7.4297923700224644E-2</v>
      </c>
      <c r="R5" s="1393">
        <v>6.6711749419923055E-2</v>
      </c>
      <c r="S5" s="1393">
        <v>6.8899622763062746E-2</v>
      </c>
      <c r="T5" s="1394">
        <v>6.412349994366405E-2</v>
      </c>
    </row>
    <row r="6" spans="3:20">
      <c r="C6" s="496" t="s">
        <v>426</v>
      </c>
      <c r="F6" s="31"/>
      <c r="G6" s="1392">
        <v>4.9070053961555227E-2</v>
      </c>
      <c r="H6" s="1393">
        <v>4.9213805144418872E-2</v>
      </c>
      <c r="I6" s="1393">
        <v>4.9269380826529464E-2</v>
      </c>
      <c r="J6" s="1393">
        <v>5.0366917776889092E-2</v>
      </c>
      <c r="K6" s="1393">
        <v>5.0513755301525257E-2</v>
      </c>
      <c r="L6" s="1393">
        <v>5.0823111500658671E-2</v>
      </c>
      <c r="M6" s="1393">
        <v>5.1130273214174529E-2</v>
      </c>
      <c r="N6" s="1393">
        <v>5.1155415778101239E-2</v>
      </c>
      <c r="O6" s="1393">
        <v>5.1419006690238335E-2</v>
      </c>
      <c r="P6" s="1393">
        <v>5.1536922252933076E-2</v>
      </c>
      <c r="Q6" s="1393">
        <v>5.1796468470784361E-2</v>
      </c>
      <c r="R6" s="1393">
        <v>5.2455700002770417E-2</v>
      </c>
      <c r="S6" s="1393">
        <v>5.2620938566639047E-2</v>
      </c>
      <c r="T6" s="1394">
        <v>5.3214807645427999E-2</v>
      </c>
    </row>
    <row r="7" spans="3:20">
      <c r="C7" s="1376" t="s">
        <v>241</v>
      </c>
      <c r="D7" s="92"/>
      <c r="E7" s="92"/>
      <c r="F7" s="33"/>
      <c r="G7" s="1406">
        <v>1</v>
      </c>
      <c r="H7" s="1395">
        <v>1</v>
      </c>
      <c r="I7" s="1395">
        <v>1</v>
      </c>
      <c r="J7" s="1395">
        <v>1.0000000000000002</v>
      </c>
      <c r="K7" s="1395">
        <v>0.99999999999999989</v>
      </c>
      <c r="L7" s="1395">
        <v>0.99999999999999989</v>
      </c>
      <c r="M7" s="1395">
        <v>0.99999999999999989</v>
      </c>
      <c r="N7" s="1395">
        <v>1</v>
      </c>
      <c r="O7" s="1395">
        <v>1.0000000000000002</v>
      </c>
      <c r="P7" s="1395">
        <v>0.99999999999999978</v>
      </c>
      <c r="Q7" s="1395">
        <v>1.0000000000000002</v>
      </c>
      <c r="R7" s="1395">
        <v>0.99999999999999989</v>
      </c>
      <c r="S7" s="1395">
        <v>1</v>
      </c>
      <c r="T7" s="1396">
        <v>0.99999999999999989</v>
      </c>
    </row>
    <row r="9" spans="3:20">
      <c r="C9" s="462" t="s">
        <v>1241</v>
      </c>
      <c r="G9" s="1409">
        <f t="shared" ref="G9:T9" si="0">(G3*G45)+(G4*G76)+(G5*G108)+(G6*G45)/1</f>
        <v>0.57503893265458728</v>
      </c>
      <c r="H9" s="1408">
        <f t="shared" si="0"/>
        <v>0.62034128688559298</v>
      </c>
      <c r="I9" s="1408">
        <f t="shared" si="0"/>
        <v>0.61428657721368241</v>
      </c>
      <c r="J9" s="1408">
        <f t="shared" si="0"/>
        <v>0.58480559315226199</v>
      </c>
      <c r="K9" s="1408">
        <f t="shared" si="0"/>
        <v>0.54687276173437827</v>
      </c>
      <c r="L9" s="1408">
        <f t="shared" si="0"/>
        <v>0.51486782513777074</v>
      </c>
      <c r="M9" s="1408">
        <f t="shared" si="0"/>
        <v>0.51714741704333489</v>
      </c>
      <c r="N9" s="1408">
        <f t="shared" si="0"/>
        <v>0.57959868202809839</v>
      </c>
      <c r="O9" s="1408">
        <f t="shared" si="0"/>
        <v>0.58458395234107674</v>
      </c>
      <c r="P9" s="1408">
        <f t="shared" si="0"/>
        <v>0.52657106963298406</v>
      </c>
      <c r="Q9" s="1408">
        <f t="shared" si="0"/>
        <v>0.63801899736735657</v>
      </c>
      <c r="R9" s="1408">
        <f t="shared" si="0"/>
        <v>1.0114702587378348</v>
      </c>
      <c r="S9" s="1408">
        <f t="shared" si="0"/>
        <v>1.129160033878565</v>
      </c>
      <c r="T9" s="1408">
        <f t="shared" si="0"/>
        <v>0.99999999999999989</v>
      </c>
    </row>
    <row r="11" spans="3:20">
      <c r="C11" s="15" t="s">
        <v>434</v>
      </c>
      <c r="D11" s="316"/>
    </row>
    <row r="12" spans="3:20">
      <c r="C12" s="69" t="s">
        <v>436</v>
      </c>
      <c r="D12" s="327">
        <v>0.68</v>
      </c>
    </row>
    <row r="13" spans="3:20">
      <c r="C13" s="71" t="s">
        <v>437</v>
      </c>
      <c r="D13" s="328">
        <v>0.21</v>
      </c>
    </row>
    <row r="14" spans="3:20">
      <c r="C14" s="71" t="s">
        <v>416</v>
      </c>
      <c r="D14" s="328">
        <v>0.11</v>
      </c>
    </row>
    <row r="15" spans="3:20">
      <c r="C15" s="363" t="s">
        <v>438</v>
      </c>
      <c r="D15" s="328">
        <v>2.53E-2</v>
      </c>
    </row>
    <row r="16" spans="3:20">
      <c r="C16" s="363" t="s">
        <v>439</v>
      </c>
      <c r="D16" s="328">
        <v>5.8300000000000005E-2</v>
      </c>
    </row>
    <row r="17" spans="3:20">
      <c r="C17" s="363" t="s">
        <v>440</v>
      </c>
      <c r="D17" s="328">
        <v>1.21E-2</v>
      </c>
    </row>
    <row r="18" spans="3:20">
      <c r="C18" s="363" t="s">
        <v>441</v>
      </c>
      <c r="D18" s="328">
        <v>7.7000000000000011E-3</v>
      </c>
    </row>
    <row r="19" spans="3:20">
      <c r="C19" s="364" t="s">
        <v>442</v>
      </c>
      <c r="D19" s="330">
        <v>5.5000000000000005E-3</v>
      </c>
    </row>
    <row r="20" spans="3:20">
      <c r="C20" t="s">
        <v>443</v>
      </c>
      <c r="D20" s="316"/>
    </row>
    <row r="21" spans="3:20">
      <c r="G21" s="111">
        <v>2011</v>
      </c>
      <c r="H21" s="111">
        <v>2012</v>
      </c>
      <c r="I21" s="111">
        <v>2013</v>
      </c>
      <c r="J21" s="111">
        <v>2014</v>
      </c>
      <c r="K21" s="111">
        <v>2015</v>
      </c>
      <c r="L21" s="111">
        <v>2016</v>
      </c>
      <c r="M21" s="111">
        <v>2017</v>
      </c>
      <c r="N21" s="111">
        <v>2018</v>
      </c>
      <c r="O21" s="111">
        <v>2019</v>
      </c>
      <c r="P21" s="111">
        <v>2020</v>
      </c>
      <c r="Q21" s="111">
        <v>2021</v>
      </c>
      <c r="R21" s="111">
        <v>2022</v>
      </c>
      <c r="S21" s="111">
        <v>2023</v>
      </c>
      <c r="T21" s="111">
        <v>2024</v>
      </c>
    </row>
    <row r="22" spans="3:20">
      <c r="C22" s="462" t="s">
        <v>1246</v>
      </c>
      <c r="G22" s="831">
        <f>((G26*G93)+(G27*G97)+(G29*G98)+(G31*G45)+(G33*G97))/1</f>
        <v>0.79437435318590599</v>
      </c>
      <c r="H22" s="831">
        <f>((H26*H93)+(H27*H97)+(H29*H98)+(H31*H45)+(H33*H97))/1</f>
        <v>0.83075301778860877</v>
      </c>
      <c r="I22" s="831">
        <f>((I26*I93)+(I27*I97)+(I29*I98)+(I31*I45)+(I33*I97))/1</f>
        <v>0.80758015880615552</v>
      </c>
      <c r="J22" s="831">
        <f>((J26*J93)+(J27*J97)+(J29*J98)+(J31*J45)+(J33*J97))/1</f>
        <v>0.77271010429266551</v>
      </c>
      <c r="K22" s="831">
        <f t="shared" ref="K22:T22" si="1">((K26*K93)+(K27*K97)+(K29*K98)+(K31*K45)+(K33*K97))/1</f>
        <v>0.69562437523665588</v>
      </c>
      <c r="L22" s="831">
        <f t="shared" si="1"/>
        <v>0.66789979179624381</v>
      </c>
      <c r="M22" s="831">
        <f t="shared" si="1"/>
        <v>0.73281613635249276</v>
      </c>
      <c r="N22" s="831">
        <f t="shared" si="1"/>
        <v>0.83962798992291132</v>
      </c>
      <c r="O22" s="831">
        <f t="shared" si="1"/>
        <v>0.84203233326301485</v>
      </c>
      <c r="P22" s="831">
        <f t="shared" si="1"/>
        <v>0.74466121654984496</v>
      </c>
      <c r="Q22" s="831">
        <f t="shared" si="1"/>
        <v>0.84390375832004871</v>
      </c>
      <c r="R22" s="831">
        <f t="shared" si="1"/>
        <v>1.0600800212548489</v>
      </c>
      <c r="S22" s="831">
        <f t="shared" si="1"/>
        <v>1.0524930493525735</v>
      </c>
      <c r="T22" s="1407">
        <f t="shared" si="1"/>
        <v>1</v>
      </c>
    </row>
    <row r="25" spans="3:20">
      <c r="C25" s="1397" t="s">
        <v>1236</v>
      </c>
      <c r="G25" s="111">
        <v>2011</v>
      </c>
      <c r="H25" s="111">
        <v>2012</v>
      </c>
      <c r="I25" s="111">
        <v>2013</v>
      </c>
      <c r="J25" s="111">
        <v>2014</v>
      </c>
      <c r="K25" s="111">
        <v>2015</v>
      </c>
      <c r="L25" s="111">
        <v>2016</v>
      </c>
      <c r="M25" s="111">
        <v>2017</v>
      </c>
      <c r="N25" s="111">
        <v>2018</v>
      </c>
      <c r="O25" s="111">
        <v>2019</v>
      </c>
      <c r="P25" s="111">
        <v>2020</v>
      </c>
      <c r="Q25" s="111">
        <v>2021</v>
      </c>
      <c r="R25" s="111">
        <v>2022</v>
      </c>
      <c r="S25" s="111">
        <v>2023</v>
      </c>
      <c r="T25" s="111">
        <v>2024</v>
      </c>
    </row>
    <row r="26" spans="3:20">
      <c r="C26" s="1398" t="s">
        <v>436</v>
      </c>
      <c r="G26" s="357">
        <v>0.72890985100225114</v>
      </c>
      <c r="H26" s="331">
        <v>0.72890985100225114</v>
      </c>
      <c r="I26" s="331">
        <v>0.72890985100225114</v>
      </c>
      <c r="J26" s="331">
        <v>0.72890985100225114</v>
      </c>
      <c r="K26" s="331">
        <v>0.72890985100225114</v>
      </c>
      <c r="L26" s="331">
        <v>0.72890985100225114</v>
      </c>
      <c r="M26" s="331">
        <v>0.72890985100225114</v>
      </c>
      <c r="N26" s="331">
        <v>0.72890985100225114</v>
      </c>
      <c r="O26" s="331">
        <v>0.72890985100225114</v>
      </c>
      <c r="P26" s="331">
        <v>0.72890985100225114</v>
      </c>
      <c r="Q26" s="331">
        <v>0.72890985100225114</v>
      </c>
      <c r="R26" s="331">
        <v>0.72890985100225114</v>
      </c>
      <c r="S26" s="331">
        <v>0.72890985100225114</v>
      </c>
      <c r="T26" s="289">
        <v>0.72890985100225114</v>
      </c>
    </row>
    <row r="27" spans="3:20">
      <c r="C27" s="1399" t="s">
        <v>437</v>
      </c>
      <c r="G27" s="114">
        <v>0.22510451280951874</v>
      </c>
      <c r="H27" s="115">
        <v>0.22510451280951874</v>
      </c>
      <c r="I27" s="115">
        <v>0.22510451280951874</v>
      </c>
      <c r="J27" s="115">
        <v>0.22510451280951874</v>
      </c>
      <c r="K27" s="115">
        <v>0.22510451280951874</v>
      </c>
      <c r="L27" s="115">
        <v>0.22510451280951874</v>
      </c>
      <c r="M27" s="115">
        <v>0.22510451280951874</v>
      </c>
      <c r="N27" s="115">
        <v>0.22510451280951874</v>
      </c>
      <c r="O27" s="115">
        <v>0.22510451280951874</v>
      </c>
      <c r="P27" s="115">
        <v>0.22510451280951874</v>
      </c>
      <c r="Q27" s="115">
        <v>0.22510451280951874</v>
      </c>
      <c r="R27" s="115">
        <v>0.22510451280951874</v>
      </c>
      <c r="S27" s="115">
        <v>0.22510451280951874</v>
      </c>
      <c r="T27" s="116">
        <v>0.22510451280951874</v>
      </c>
    </row>
    <row r="28" spans="3:20">
      <c r="C28" s="1399" t="s">
        <v>416</v>
      </c>
      <c r="G28" s="71"/>
      <c r="I28" s="115">
        <v>0</v>
      </c>
      <c r="T28" s="31"/>
    </row>
    <row r="29" spans="3:20">
      <c r="C29" s="1400" t="s">
        <v>438</v>
      </c>
      <c r="G29" s="114">
        <v>2.711973416228964E-2</v>
      </c>
      <c r="H29" s="115">
        <v>2.711973416228964E-2</v>
      </c>
      <c r="I29" s="115">
        <v>2.711973416228964E-2</v>
      </c>
      <c r="J29" s="115">
        <v>2.711973416228964E-2</v>
      </c>
      <c r="K29" s="115">
        <v>2.711973416228964E-2</v>
      </c>
      <c r="L29" s="115">
        <v>2.711973416228964E-2</v>
      </c>
      <c r="M29" s="115">
        <v>2.711973416228964E-2</v>
      </c>
      <c r="N29" s="115">
        <v>2.711973416228964E-2</v>
      </c>
      <c r="O29" s="115">
        <v>2.711973416228964E-2</v>
      </c>
      <c r="P29" s="115">
        <v>2.711973416228964E-2</v>
      </c>
      <c r="Q29" s="115">
        <v>2.711973416228964E-2</v>
      </c>
      <c r="R29" s="115">
        <v>2.711973416228964E-2</v>
      </c>
      <c r="S29" s="115">
        <v>2.711973416228964E-2</v>
      </c>
      <c r="T29" s="116">
        <v>2.711973416228964E-2</v>
      </c>
    </row>
    <row r="30" spans="3:20">
      <c r="C30" s="1400" t="s">
        <v>439</v>
      </c>
      <c r="G30" s="71"/>
      <c r="I30" s="115">
        <v>0</v>
      </c>
      <c r="T30" s="31"/>
    </row>
    <row r="31" spans="3:20">
      <c r="C31" s="1400" t="s">
        <v>440</v>
      </c>
      <c r="G31" s="114">
        <v>1.2970307642834172E-2</v>
      </c>
      <c r="H31" s="115">
        <v>1.2970307642834172E-2</v>
      </c>
      <c r="I31" s="115">
        <v>1.2970307642834172E-2</v>
      </c>
      <c r="J31" s="115">
        <v>1.2970307642834172E-2</v>
      </c>
      <c r="K31" s="115">
        <v>1.2970307642834172E-2</v>
      </c>
      <c r="L31" s="115">
        <v>1.2970307642834172E-2</v>
      </c>
      <c r="M31" s="115">
        <v>1.2970307642834172E-2</v>
      </c>
      <c r="N31" s="115">
        <v>1.2970307642834172E-2</v>
      </c>
      <c r="O31" s="115">
        <v>1.2970307642834172E-2</v>
      </c>
      <c r="P31" s="115">
        <v>1.2970307642834172E-2</v>
      </c>
      <c r="Q31" s="115">
        <v>1.2970307642834172E-2</v>
      </c>
      <c r="R31" s="115">
        <v>1.2970307642834172E-2</v>
      </c>
      <c r="S31" s="115">
        <v>1.2970307642834172E-2</v>
      </c>
      <c r="T31" s="116">
        <v>1.2970307642834172E-2</v>
      </c>
    </row>
    <row r="32" spans="3:20">
      <c r="C32" s="1400" t="s">
        <v>441</v>
      </c>
      <c r="G32" s="71"/>
      <c r="I32" s="115">
        <v>0</v>
      </c>
      <c r="T32" s="31"/>
    </row>
    <row r="33" spans="1:20">
      <c r="C33" s="1401" t="s">
        <v>442</v>
      </c>
      <c r="G33" s="117">
        <v>5.8955943831064429E-3</v>
      </c>
      <c r="H33" s="118">
        <v>5.8955943831064429E-3</v>
      </c>
      <c r="I33" s="118">
        <v>5.8955943831064429E-3</v>
      </c>
      <c r="J33" s="118">
        <v>5.8955943831064429E-3</v>
      </c>
      <c r="K33" s="118">
        <v>5.8955943831064429E-3</v>
      </c>
      <c r="L33" s="118">
        <v>5.8955943831064429E-3</v>
      </c>
      <c r="M33" s="118">
        <v>5.8955943831064429E-3</v>
      </c>
      <c r="N33" s="118">
        <v>5.8955943831064429E-3</v>
      </c>
      <c r="O33" s="118">
        <v>5.8955943831064429E-3</v>
      </c>
      <c r="P33" s="118">
        <v>5.8955943831064429E-3</v>
      </c>
      <c r="Q33" s="118">
        <v>5.8955943831064429E-3</v>
      </c>
      <c r="R33" s="118">
        <v>5.8955943831064429E-3</v>
      </c>
      <c r="S33" s="118">
        <v>5.8955943831064429E-3</v>
      </c>
      <c r="T33" s="119">
        <v>5.8955943831064429E-3</v>
      </c>
    </row>
    <row r="34" spans="1:20">
      <c r="G34" s="1491">
        <f>SUM(G26:G33)</f>
        <v>1</v>
      </c>
      <c r="H34" s="408">
        <f t="shared" ref="H34:T34" si="2">SUM(H26:H33)</f>
        <v>1</v>
      </c>
      <c r="I34" s="408">
        <f t="shared" si="2"/>
        <v>1</v>
      </c>
      <c r="J34" s="408">
        <f t="shared" si="2"/>
        <v>1</v>
      </c>
      <c r="K34" s="408">
        <f t="shared" si="2"/>
        <v>1</v>
      </c>
      <c r="L34" s="408">
        <f t="shared" si="2"/>
        <v>1</v>
      </c>
      <c r="M34" s="408">
        <f t="shared" si="2"/>
        <v>1</v>
      </c>
      <c r="N34" s="408">
        <f t="shared" si="2"/>
        <v>1</v>
      </c>
      <c r="O34" s="408">
        <f t="shared" si="2"/>
        <v>1</v>
      </c>
      <c r="P34" s="408">
        <f t="shared" si="2"/>
        <v>1</v>
      </c>
      <c r="Q34" s="408">
        <f t="shared" si="2"/>
        <v>1</v>
      </c>
      <c r="R34" s="408">
        <f t="shared" si="2"/>
        <v>1</v>
      </c>
      <c r="S34" s="408">
        <f t="shared" si="2"/>
        <v>1</v>
      </c>
      <c r="T34" s="1492">
        <f t="shared" si="2"/>
        <v>1</v>
      </c>
    </row>
    <row r="36" spans="1:20" ht="18.5">
      <c r="A36" t="s">
        <v>452</v>
      </c>
      <c r="B36" s="102">
        <v>45803</v>
      </c>
      <c r="C36" s="540" t="s">
        <v>193</v>
      </c>
      <c r="D36" s="541"/>
      <c r="E36" s="541"/>
      <c r="F36" s="542"/>
      <c r="G36" s="2"/>
      <c r="H36" s="2"/>
      <c r="I36" s="2"/>
      <c r="J36" s="2"/>
      <c r="K36" s="2"/>
      <c r="L36" s="2"/>
      <c r="M36" s="2"/>
      <c r="N36" s="2"/>
      <c r="O36" s="2"/>
      <c r="P36" s="2"/>
      <c r="Q36" s="2"/>
      <c r="R36" s="2"/>
      <c r="S36" s="2"/>
      <c r="T36" s="2"/>
    </row>
    <row r="37" spans="1:20">
      <c r="A37" s="2"/>
      <c r="B37" s="2"/>
      <c r="C37" s="2"/>
      <c r="D37" s="2"/>
      <c r="E37" s="2"/>
      <c r="F37" s="2"/>
      <c r="G37" s="2"/>
      <c r="H37" s="2"/>
      <c r="I37" s="2"/>
      <c r="J37" s="2"/>
      <c r="K37" s="2"/>
      <c r="L37" s="2"/>
      <c r="M37" s="2"/>
      <c r="N37" s="2"/>
      <c r="O37" s="2"/>
      <c r="P37" s="2"/>
      <c r="Q37" s="2"/>
      <c r="R37" s="2"/>
      <c r="S37" s="2"/>
      <c r="T37" s="2"/>
    </row>
    <row r="38" spans="1:20">
      <c r="A38" s="2"/>
      <c r="B38" s="2"/>
      <c r="C38" s="35" t="s">
        <v>462</v>
      </c>
      <c r="D38" s="2"/>
      <c r="E38" s="2"/>
      <c r="F38" s="2"/>
      <c r="G38" s="2"/>
      <c r="H38" s="2"/>
      <c r="I38" s="2"/>
      <c r="J38" s="2"/>
      <c r="K38" s="2"/>
      <c r="L38" s="2"/>
      <c r="M38" s="2"/>
      <c r="N38" s="2"/>
      <c r="O38" s="2"/>
      <c r="P38" s="2"/>
      <c r="Q38" s="2"/>
      <c r="R38" s="2"/>
      <c r="S38" s="2"/>
      <c r="T38" s="2"/>
    </row>
    <row r="39" spans="1:20">
      <c r="A39" s="2"/>
      <c r="B39" s="2"/>
      <c r="C39" s="18"/>
      <c r="D39" s="19"/>
      <c r="E39" s="19" t="s">
        <v>281</v>
      </c>
      <c r="F39" s="19" t="s">
        <v>282</v>
      </c>
      <c r="G39" s="111">
        <v>2011</v>
      </c>
      <c r="H39" s="111">
        <v>2012</v>
      </c>
      <c r="I39" s="111">
        <v>2013</v>
      </c>
      <c r="J39" s="111">
        <v>2014</v>
      </c>
      <c r="K39" s="111">
        <v>2015</v>
      </c>
      <c r="L39" s="111">
        <v>2016</v>
      </c>
      <c r="M39" s="111">
        <v>2017</v>
      </c>
      <c r="N39" s="111">
        <v>2018</v>
      </c>
      <c r="O39" s="111">
        <v>2019</v>
      </c>
      <c r="P39" s="111">
        <v>2020</v>
      </c>
      <c r="Q39" s="111">
        <v>2021</v>
      </c>
      <c r="R39" s="111">
        <v>2022</v>
      </c>
      <c r="S39" s="111">
        <v>2023</v>
      </c>
      <c r="T39" s="111">
        <v>2024</v>
      </c>
    </row>
    <row r="40" spans="1:20">
      <c r="A40" s="2"/>
      <c r="B40" s="2"/>
      <c r="C40" s="61" t="s">
        <v>463</v>
      </c>
      <c r="D40" s="19"/>
      <c r="E40" s="19" t="s">
        <v>464</v>
      </c>
      <c r="F40" s="19"/>
      <c r="G40" s="535">
        <v>10.02</v>
      </c>
      <c r="H40" s="535">
        <v>10.69</v>
      </c>
      <c r="I40" s="535">
        <v>10.734999999999999</v>
      </c>
      <c r="J40" s="535">
        <v>10.18</v>
      </c>
      <c r="K40" s="535">
        <v>9.4250000000000007</v>
      </c>
      <c r="L40" s="535">
        <v>8.58</v>
      </c>
      <c r="M40" s="535">
        <v>7.8483499999999999</v>
      </c>
      <c r="N40" s="535">
        <v>8.2760999999999996</v>
      </c>
      <c r="O40" s="535">
        <v>8.3850999999999996</v>
      </c>
      <c r="P40" s="535">
        <v>7.6120999999999999</v>
      </c>
      <c r="Q40" s="535">
        <v>9.7636000000000003</v>
      </c>
      <c r="R40" s="535">
        <v>16.773849999999999</v>
      </c>
      <c r="S40" s="535">
        <v>20.413899999999998</v>
      </c>
      <c r="T40" s="535">
        <v>16.010449999999999</v>
      </c>
    </row>
    <row r="41" spans="1:20">
      <c r="A41" s="2"/>
      <c r="B41" s="2"/>
      <c r="C41" s="60" t="s">
        <v>465</v>
      </c>
      <c r="D41" s="2"/>
      <c r="E41" s="2" t="s">
        <v>232</v>
      </c>
      <c r="F41" s="2"/>
      <c r="G41" s="537">
        <v>0.29500000000000171</v>
      </c>
      <c r="H41" s="537">
        <v>0.3100000000000005</v>
      </c>
      <c r="I41" s="537">
        <v>0.33000000000000007</v>
      </c>
      <c r="J41" s="537">
        <v>0.44999999999999929</v>
      </c>
      <c r="K41" s="537">
        <v>0.91000000000000014</v>
      </c>
      <c r="L41" s="537">
        <v>1.2999999999999989</v>
      </c>
      <c r="M41" s="537">
        <v>1.5579000000000001</v>
      </c>
      <c r="N41" s="537">
        <v>2.0390000000000015</v>
      </c>
      <c r="O41" s="537">
        <v>1.9882500000000007</v>
      </c>
      <c r="P41" s="537">
        <v>1.9652000000000012</v>
      </c>
      <c r="Q41" s="537">
        <v>2.0015000000000001</v>
      </c>
      <c r="R41" s="537">
        <v>1.9449500000000022</v>
      </c>
      <c r="S41" s="537">
        <v>1.8486500000000028</v>
      </c>
      <c r="T41" s="537">
        <v>4.4792500000000004</v>
      </c>
    </row>
    <row r="42" spans="1:20">
      <c r="A42" s="2"/>
      <c r="B42" s="2"/>
      <c r="C42" s="60" t="s">
        <v>466</v>
      </c>
      <c r="D42" s="2"/>
      <c r="E42" s="2" t="s">
        <v>232</v>
      </c>
      <c r="F42" s="26"/>
      <c r="G42" s="537">
        <v>1.884999999999998</v>
      </c>
      <c r="H42" s="537">
        <v>2.0399999999999991</v>
      </c>
      <c r="I42" s="537">
        <v>1.9650000000000016</v>
      </c>
      <c r="J42" s="537">
        <v>1.875</v>
      </c>
      <c r="K42" s="537">
        <v>1.7249999999999996</v>
      </c>
      <c r="L42" s="537">
        <v>1.5200000000000014</v>
      </c>
      <c r="M42" s="537">
        <v>1.6352000000000011</v>
      </c>
      <c r="N42" s="537">
        <v>1.7729999999999997</v>
      </c>
      <c r="O42" s="537">
        <v>1.7759499999999999</v>
      </c>
      <c r="P42" s="537">
        <v>1.6498499999999989</v>
      </c>
      <c r="Q42" s="537">
        <v>2.0474999999999994</v>
      </c>
      <c r="R42" s="537">
        <v>3.3806999999999974</v>
      </c>
      <c r="S42" s="537">
        <v>4.0814500000000002</v>
      </c>
      <c r="T42" s="537">
        <v>2.2724000000000011</v>
      </c>
    </row>
    <row r="43" spans="1:20">
      <c r="A43" s="2"/>
      <c r="B43" s="2"/>
      <c r="C43" s="298" t="s">
        <v>241</v>
      </c>
      <c r="D43" s="17"/>
      <c r="E43" s="17"/>
      <c r="F43" s="23"/>
      <c r="G43" s="539">
        <v>12.2</v>
      </c>
      <c r="H43" s="539">
        <v>13.04</v>
      </c>
      <c r="I43" s="539">
        <v>13.030000000000001</v>
      </c>
      <c r="J43" s="539">
        <v>12.504999999999999</v>
      </c>
      <c r="K43" s="539">
        <v>12.06</v>
      </c>
      <c r="L43" s="539">
        <v>11.4</v>
      </c>
      <c r="M43" s="539">
        <v>11.041450000000001</v>
      </c>
      <c r="N43" s="539">
        <v>12.088100000000001</v>
      </c>
      <c r="O43" s="539">
        <v>12.1493</v>
      </c>
      <c r="P43" s="539">
        <v>11.22715</v>
      </c>
      <c r="Q43" s="539">
        <v>13.8126</v>
      </c>
      <c r="R43" s="539">
        <v>22.099499999999999</v>
      </c>
      <c r="S43" s="539">
        <v>26.344000000000001</v>
      </c>
      <c r="T43" s="539">
        <v>22.7621</v>
      </c>
    </row>
    <row r="45" spans="1:20">
      <c r="C45" s="377" t="s">
        <v>1240</v>
      </c>
      <c r="G45" s="65">
        <f>G43/$T$43</f>
        <v>0.53597866629177449</v>
      </c>
      <c r="H45" s="65">
        <f>H43/$T$43</f>
        <v>0.57288211544629009</v>
      </c>
      <c r="I45" s="65">
        <f>I43/$T$43</f>
        <v>0.57244278867064113</v>
      </c>
      <c r="J45" s="65">
        <f>J43/$T$43</f>
        <v>0.54937813294906879</v>
      </c>
      <c r="K45" s="65">
        <f t="shared" ref="K45:T45" si="3">K43/$T$43</f>
        <v>0.52982809143268861</v>
      </c>
      <c r="L45" s="65">
        <f t="shared" si="3"/>
        <v>0.5008325242398548</v>
      </c>
      <c r="M45" s="65">
        <f t="shared" si="3"/>
        <v>0.48508046269896016</v>
      </c>
      <c r="N45" s="65">
        <f t="shared" si="3"/>
        <v>0.53106259967226221</v>
      </c>
      <c r="O45" s="65">
        <f t="shared" si="3"/>
        <v>0.53375127953923407</v>
      </c>
      <c r="P45" s="65">
        <f t="shared" si="3"/>
        <v>0.49323876092276198</v>
      </c>
      <c r="Q45" s="65">
        <f t="shared" si="3"/>
        <v>0.60682450213293149</v>
      </c>
      <c r="R45" s="65">
        <f t="shared" si="3"/>
        <v>0.97089020784549751</v>
      </c>
      <c r="S45" s="65">
        <f t="shared" si="3"/>
        <v>1.1573624577697137</v>
      </c>
      <c r="T45" s="65">
        <f t="shared" si="3"/>
        <v>1</v>
      </c>
    </row>
    <row r="47" spans="1:20">
      <c r="A47" s="2"/>
      <c r="B47" s="2"/>
      <c r="C47" s="35" t="s">
        <v>462</v>
      </c>
      <c r="D47" s="2"/>
      <c r="E47" s="2"/>
      <c r="F47" s="2"/>
      <c r="G47" s="2"/>
      <c r="H47" s="2"/>
      <c r="I47" s="2"/>
      <c r="J47" s="2"/>
      <c r="K47" s="2"/>
      <c r="L47" s="2"/>
      <c r="M47" s="2"/>
      <c r="N47" s="2"/>
      <c r="O47" s="2"/>
      <c r="P47" s="2"/>
      <c r="Q47" s="2"/>
      <c r="R47" s="2"/>
      <c r="S47" s="2"/>
      <c r="T47" s="2"/>
    </row>
    <row r="48" spans="1:20">
      <c r="A48" s="2"/>
      <c r="B48" s="2"/>
      <c r="C48" s="16"/>
      <c r="D48" s="17"/>
      <c r="E48" s="17"/>
      <c r="F48" s="17"/>
      <c r="G48" s="533">
        <v>2011</v>
      </c>
      <c r="H48" s="533">
        <v>2012</v>
      </c>
      <c r="I48" s="533">
        <v>2013</v>
      </c>
      <c r="J48" s="533">
        <v>2014</v>
      </c>
      <c r="K48" s="533">
        <v>2015</v>
      </c>
      <c r="L48" s="533">
        <v>2016</v>
      </c>
      <c r="M48" s="533">
        <v>2017</v>
      </c>
      <c r="N48" s="533">
        <v>2018</v>
      </c>
      <c r="O48" s="533">
        <v>2019</v>
      </c>
      <c r="P48" s="533">
        <v>2020</v>
      </c>
      <c r="Q48" s="533">
        <v>2021</v>
      </c>
      <c r="R48" s="533">
        <v>2022</v>
      </c>
      <c r="S48" s="533">
        <v>2023</v>
      </c>
      <c r="T48" s="533">
        <v>2024</v>
      </c>
    </row>
    <row r="49" spans="1:20">
      <c r="A49" s="2"/>
      <c r="B49" s="2"/>
      <c r="C49" s="36" t="s">
        <v>463</v>
      </c>
      <c r="D49" s="19"/>
      <c r="E49" s="534" t="s">
        <v>468</v>
      </c>
      <c r="F49" s="24"/>
      <c r="G49" s="535">
        <v>32.468046804680469</v>
      </c>
      <c r="H49" s="535">
        <v>34.639063906390639</v>
      </c>
      <c r="I49" s="535">
        <v>34.784878487848786</v>
      </c>
      <c r="J49" s="535">
        <v>32.986498649864984</v>
      </c>
      <c r="K49" s="535">
        <v>30.540054005400542</v>
      </c>
      <c r="L49" s="535">
        <v>27.801980198019802</v>
      </c>
      <c r="M49" s="535">
        <v>25.431197119711971</v>
      </c>
      <c r="N49" s="535">
        <v>26.817245724572455</v>
      </c>
      <c r="O49" s="535">
        <v>27.170441044104408</v>
      </c>
      <c r="P49" s="535">
        <v>24.665670567056704</v>
      </c>
      <c r="Q49" s="535">
        <v>31.637227722772277</v>
      </c>
      <c r="R49" s="535">
        <v>54.352709270927093</v>
      </c>
      <c r="S49" s="535">
        <v>66.147650765076506</v>
      </c>
      <c r="T49" s="535">
        <v>51.879045904590456</v>
      </c>
    </row>
    <row r="50" spans="1:20">
      <c r="A50" s="2"/>
      <c r="B50" s="2"/>
      <c r="C50" s="194" t="s">
        <v>465</v>
      </c>
      <c r="D50" s="2"/>
      <c r="E50" s="536" t="s">
        <v>232</v>
      </c>
      <c r="F50" s="26"/>
      <c r="G50" s="537">
        <v>0.95589558955896137</v>
      </c>
      <c r="H50" s="537">
        <v>1.0045004500450061</v>
      </c>
      <c r="I50" s="537">
        <v>1.0693069306930696</v>
      </c>
      <c r="J50" s="537">
        <v>1.4581458145814559</v>
      </c>
      <c r="K50" s="537">
        <v>2.9486948694869493</v>
      </c>
      <c r="L50" s="537">
        <v>4.2124212421242087</v>
      </c>
      <c r="M50" s="537">
        <v>5.0481008100810083</v>
      </c>
      <c r="N50" s="537">
        <v>6.6070207020702121</v>
      </c>
      <c r="O50" s="537">
        <v>6.4425742574257452</v>
      </c>
      <c r="P50" s="537">
        <v>6.3678847884788512</v>
      </c>
      <c r="Q50" s="537">
        <v>6.4855085508550854</v>
      </c>
      <c r="R50" s="537">
        <v>6.3022682268226893</v>
      </c>
      <c r="S50" s="537">
        <v>5.9902250225022593</v>
      </c>
      <c r="T50" s="537">
        <v>14.514221422142215</v>
      </c>
    </row>
    <row r="51" spans="1:20">
      <c r="A51" s="2"/>
      <c r="B51" s="2"/>
      <c r="C51" s="543" t="s">
        <v>466</v>
      </c>
      <c r="D51" s="2"/>
      <c r="E51" s="536" t="s">
        <v>232</v>
      </c>
      <c r="F51" s="26"/>
      <c r="G51" s="537">
        <v>6.1080108010801011</v>
      </c>
      <c r="H51" s="537">
        <v>6.6102610261026076</v>
      </c>
      <c r="I51" s="537">
        <v>6.3672367236723728</v>
      </c>
      <c r="J51" s="537">
        <v>6.075607560756076</v>
      </c>
      <c r="K51" s="537">
        <v>5.5895589558955887</v>
      </c>
      <c r="L51" s="537">
        <v>4.9252925292529293</v>
      </c>
      <c r="M51" s="537">
        <v>5.2985778577857818</v>
      </c>
      <c r="N51" s="537">
        <v>5.7450945094509445</v>
      </c>
      <c r="O51" s="537">
        <v>5.754653465346534</v>
      </c>
      <c r="P51" s="537">
        <v>5.3460486048604823</v>
      </c>
      <c r="Q51" s="537">
        <v>6.6345634563456324</v>
      </c>
      <c r="R51" s="537">
        <v>10.954563456345626</v>
      </c>
      <c r="S51" s="537">
        <v>13.225220522052206</v>
      </c>
      <c r="T51" s="537">
        <v>7.3633123312331268</v>
      </c>
    </row>
    <row r="52" spans="1:20">
      <c r="A52" s="2"/>
      <c r="B52" s="2"/>
      <c r="C52" s="74" t="s">
        <v>467</v>
      </c>
      <c r="D52" s="17"/>
      <c r="E52" s="538" t="s">
        <v>232</v>
      </c>
      <c r="F52" s="23"/>
      <c r="G52" s="539">
        <v>39.531953195319531</v>
      </c>
      <c r="H52" s="539">
        <v>42.253825382538253</v>
      </c>
      <c r="I52" s="539">
        <v>42.221422142214223</v>
      </c>
      <c r="J52" s="539">
        <v>40.520252025202517</v>
      </c>
      <c r="K52" s="539">
        <v>39.078307830783082</v>
      </c>
      <c r="L52" s="539">
        <v>36.939693969396941</v>
      </c>
      <c r="M52" s="539">
        <v>35.777875787578758</v>
      </c>
      <c r="N52" s="539">
        <v>39.169360936093611</v>
      </c>
      <c r="O52" s="539">
        <v>39.36766876687669</v>
      </c>
      <c r="P52" s="539">
        <v>36.379603960396039</v>
      </c>
      <c r="Q52" s="539">
        <v>44.757299729972992</v>
      </c>
      <c r="R52" s="539">
        <v>71.609540954095408</v>
      </c>
      <c r="S52" s="539">
        <v>85.363096309630976</v>
      </c>
      <c r="T52" s="539">
        <v>73.756579657965801</v>
      </c>
    </row>
    <row r="54" spans="1:20">
      <c r="C54" s="377" t="s">
        <v>1242</v>
      </c>
      <c r="G54" s="65">
        <f>G52/$T$52</f>
        <v>0.53597866629177449</v>
      </c>
      <c r="H54" s="65">
        <f>H52/$T$52</f>
        <v>0.57288211544629009</v>
      </c>
      <c r="I54" s="65">
        <f>I52/$T$52</f>
        <v>0.57244278867064113</v>
      </c>
      <c r="J54" s="65">
        <f>J52/$T$52</f>
        <v>0.54937813294906879</v>
      </c>
      <c r="K54" s="65">
        <f t="shared" ref="K54:T54" si="4">K52/$T$52</f>
        <v>0.52982809143268861</v>
      </c>
      <c r="L54" s="65">
        <f t="shared" si="4"/>
        <v>0.5008325242398548</v>
      </c>
      <c r="M54" s="65">
        <f t="shared" si="4"/>
        <v>0.4850804626989601</v>
      </c>
      <c r="N54" s="65">
        <f t="shared" si="4"/>
        <v>0.53106259967226221</v>
      </c>
      <c r="O54" s="65">
        <f t="shared" si="4"/>
        <v>0.53375127953923407</v>
      </c>
      <c r="P54" s="65">
        <f t="shared" si="4"/>
        <v>0.49323876092276192</v>
      </c>
      <c r="Q54" s="65">
        <f t="shared" si="4"/>
        <v>0.60682450213293138</v>
      </c>
      <c r="R54" s="65">
        <f t="shared" si="4"/>
        <v>0.97089020784549751</v>
      </c>
      <c r="S54" s="65">
        <f t="shared" si="4"/>
        <v>1.1573624577697137</v>
      </c>
      <c r="T54" s="65">
        <f t="shared" si="4"/>
        <v>1</v>
      </c>
    </row>
    <row r="56" spans="1:20" ht="18.5">
      <c r="A56" t="s">
        <v>452</v>
      </c>
      <c r="B56" s="102">
        <v>45803</v>
      </c>
      <c r="C56" s="564" t="s">
        <v>422</v>
      </c>
      <c r="D56" s="565"/>
      <c r="E56" s="565"/>
      <c r="F56" s="566"/>
      <c r="G56" s="2"/>
      <c r="H56" s="2"/>
      <c r="I56" s="2"/>
      <c r="J56" s="2"/>
      <c r="K56" s="2"/>
      <c r="L56" s="2"/>
      <c r="M56" s="2"/>
      <c r="N56" s="2"/>
      <c r="O56" s="2"/>
      <c r="P56" s="2"/>
      <c r="Q56" s="2"/>
      <c r="R56" s="2"/>
      <c r="S56" s="2"/>
    </row>
    <row r="58" spans="1:20">
      <c r="C58" s="35" t="s">
        <v>469</v>
      </c>
      <c r="D58" s="2"/>
      <c r="E58" s="2"/>
      <c r="F58" s="2"/>
      <c r="G58" s="2"/>
      <c r="H58" s="2"/>
      <c r="I58" s="2"/>
      <c r="J58" s="2"/>
      <c r="K58" s="2"/>
      <c r="L58" s="2"/>
      <c r="M58" s="2"/>
      <c r="N58" s="2"/>
      <c r="O58" s="2"/>
      <c r="P58" s="2"/>
      <c r="Q58" s="2"/>
      <c r="R58" s="2"/>
      <c r="S58" s="2"/>
      <c r="T58" s="2"/>
    </row>
    <row r="59" spans="1:20">
      <c r="C59" s="551"/>
      <c r="D59" s="552"/>
      <c r="E59" s="19" t="s">
        <v>281</v>
      </c>
      <c r="F59" s="19" t="s">
        <v>282</v>
      </c>
      <c r="G59" s="1374">
        <v>2011</v>
      </c>
      <c r="H59" s="1374">
        <v>2012</v>
      </c>
      <c r="I59" s="1374">
        <v>2013</v>
      </c>
      <c r="J59" s="1374">
        <v>2014</v>
      </c>
      <c r="K59" s="1374">
        <v>2015</v>
      </c>
      <c r="L59" s="1374">
        <v>2016</v>
      </c>
      <c r="M59" s="1374">
        <v>2017</v>
      </c>
      <c r="N59" s="1374">
        <v>2018</v>
      </c>
      <c r="O59" s="1374">
        <v>2019</v>
      </c>
      <c r="P59" s="1374">
        <v>2020</v>
      </c>
      <c r="Q59" s="1374">
        <v>2021</v>
      </c>
      <c r="R59" s="1374">
        <v>2022</v>
      </c>
      <c r="S59" s="1374">
        <v>2023</v>
      </c>
      <c r="T59" s="1374">
        <v>2024</v>
      </c>
    </row>
    <row r="60" spans="1:20">
      <c r="C60" s="554" t="s">
        <v>470</v>
      </c>
      <c r="D60" s="19" t="s">
        <v>471</v>
      </c>
      <c r="E60" s="555" t="s">
        <v>232</v>
      </c>
      <c r="F60" s="555" t="s">
        <v>287</v>
      </c>
      <c r="G60" s="556">
        <v>0.6857692307692308</v>
      </c>
      <c r="H60" s="556">
        <v>0.75347884615384586</v>
      </c>
      <c r="I60" s="556">
        <v>0.7186769230769231</v>
      </c>
      <c r="J60" s="556">
        <v>0.65998846153846169</v>
      </c>
      <c r="K60" s="556">
        <v>0.51179615384615385</v>
      </c>
      <c r="L60" s="556">
        <v>0.43505660377358485</v>
      </c>
      <c r="M60" s="556">
        <v>0.49874615384615384</v>
      </c>
      <c r="N60" s="556">
        <v>0.60343269230769248</v>
      </c>
      <c r="O60" s="556">
        <v>0.61943653846153857</v>
      </c>
      <c r="P60" s="556">
        <v>0.48</v>
      </c>
      <c r="Q60" s="556">
        <v>0.59770000000000001</v>
      </c>
      <c r="R60" s="556">
        <v>1.0789</v>
      </c>
      <c r="S60" s="556">
        <v>0.89770000000000005</v>
      </c>
      <c r="T60" s="556">
        <v>0.84419999999999995</v>
      </c>
    </row>
    <row r="61" spans="1:20">
      <c r="C61" s="557" t="s">
        <v>470</v>
      </c>
      <c r="D61" s="558" t="s">
        <v>216</v>
      </c>
      <c r="E61" s="2" t="s">
        <v>232</v>
      </c>
      <c r="F61" s="26"/>
      <c r="G61" s="559">
        <f t="shared" ref="G61:T61" si="5">G62-G60</f>
        <v>0.20209999999999995</v>
      </c>
      <c r="H61" s="559">
        <f t="shared" si="5"/>
        <v>0.21536538461538501</v>
      </c>
      <c r="I61" s="559">
        <f t="shared" si="5"/>
        <v>0.20855576923076924</v>
      </c>
      <c r="J61" s="559">
        <f t="shared" si="5"/>
        <v>0.19992307692307665</v>
      </c>
      <c r="K61" s="559">
        <f t="shared" si="5"/>
        <v>0.19404615384615387</v>
      </c>
      <c r="L61" s="559">
        <f t="shared" si="5"/>
        <v>0.20257358490566041</v>
      </c>
      <c r="M61" s="559">
        <f t="shared" si="5"/>
        <v>0.24243269230769215</v>
      </c>
      <c r="N61" s="559">
        <f t="shared" si="5"/>
        <v>0.30812692307692291</v>
      </c>
      <c r="O61" s="559">
        <f t="shared" si="5"/>
        <v>0.31133269230769234</v>
      </c>
      <c r="P61" s="559">
        <f t="shared" si="5"/>
        <v>0.28339999999999999</v>
      </c>
      <c r="Q61" s="559">
        <f t="shared" si="5"/>
        <v>0.30699999999999994</v>
      </c>
      <c r="R61" s="559">
        <f t="shared" si="5"/>
        <v>0.4032</v>
      </c>
      <c r="S61" s="559">
        <f t="shared" si="5"/>
        <v>0.36699999999999988</v>
      </c>
      <c r="T61" s="559">
        <f t="shared" si="5"/>
        <v>0.35619999999999996</v>
      </c>
    </row>
    <row r="62" spans="1:20">
      <c r="C62" s="560" t="s">
        <v>470</v>
      </c>
      <c r="D62" s="21" t="s">
        <v>472</v>
      </c>
      <c r="E62" s="21" t="s">
        <v>232</v>
      </c>
      <c r="F62" s="27" t="s">
        <v>289</v>
      </c>
      <c r="G62" s="562">
        <v>0.88786923076923074</v>
      </c>
      <c r="H62" s="562">
        <v>0.96884423076923087</v>
      </c>
      <c r="I62" s="562">
        <v>0.92723269230769234</v>
      </c>
      <c r="J62" s="562">
        <v>0.85991153846153834</v>
      </c>
      <c r="K62" s="562">
        <v>0.70584230769230771</v>
      </c>
      <c r="L62" s="562">
        <v>0.63763018867924526</v>
      </c>
      <c r="M62" s="562">
        <v>0.74117884615384599</v>
      </c>
      <c r="N62" s="562">
        <v>0.91155961538461538</v>
      </c>
      <c r="O62" s="562">
        <v>0.9307692307692309</v>
      </c>
      <c r="P62" s="562">
        <v>0.76339999999999997</v>
      </c>
      <c r="Q62" s="562">
        <v>0.90469999999999995</v>
      </c>
      <c r="R62" s="562">
        <v>1.4821</v>
      </c>
      <c r="S62" s="562">
        <v>1.2646999999999999</v>
      </c>
      <c r="T62" s="562">
        <v>1.2003999999999999</v>
      </c>
    </row>
    <row r="63" spans="1:20">
      <c r="C63" s="557" t="s">
        <v>473</v>
      </c>
      <c r="D63" s="2" t="s">
        <v>471</v>
      </c>
      <c r="E63" s="2" t="s">
        <v>232</v>
      </c>
      <c r="F63" s="555" t="s">
        <v>287</v>
      </c>
      <c r="G63" s="556">
        <v>0.64945192307692323</v>
      </c>
      <c r="H63" s="556">
        <v>0.72692500000000004</v>
      </c>
      <c r="I63" s="556">
        <v>0.68487307692307675</v>
      </c>
      <c r="J63" s="556">
        <v>0.61486153846153857</v>
      </c>
      <c r="K63" s="556">
        <v>0.46163076923076929</v>
      </c>
      <c r="L63" s="556">
        <v>0.38286037735849066</v>
      </c>
      <c r="M63" s="556">
        <v>0.44315961538461529</v>
      </c>
      <c r="N63" s="556">
        <v>0.54808653846153832</v>
      </c>
      <c r="O63" s="556">
        <v>0.56900576923076907</v>
      </c>
      <c r="P63" s="556">
        <v>0.42080000000000001</v>
      </c>
      <c r="Q63" s="556">
        <v>0.53749999999999998</v>
      </c>
      <c r="R63" s="556">
        <v>1.0062</v>
      </c>
      <c r="S63" s="556">
        <v>0.82609999999999995</v>
      </c>
      <c r="T63" s="556">
        <v>0.77780000000000005</v>
      </c>
    </row>
    <row r="64" spans="1:20">
      <c r="C64" s="557" t="s">
        <v>473</v>
      </c>
      <c r="D64" s="558" t="s">
        <v>216</v>
      </c>
      <c r="E64" s="2" t="s">
        <v>232</v>
      </c>
      <c r="F64" s="26"/>
      <c r="G64" s="559">
        <f t="shared" ref="G64:T64" si="6">G65-G63</f>
        <v>0.19502307692307663</v>
      </c>
      <c r="H64" s="559">
        <f t="shared" si="6"/>
        <v>0.21017115384615381</v>
      </c>
      <c r="I64" s="559">
        <f t="shared" si="6"/>
        <v>0.20192307692307665</v>
      </c>
      <c r="J64" s="559">
        <f t="shared" si="6"/>
        <v>0.19089807692307692</v>
      </c>
      <c r="K64" s="559">
        <f t="shared" si="6"/>
        <v>0.18400384615384613</v>
      </c>
      <c r="L64" s="559">
        <f t="shared" si="6"/>
        <v>0.19213773584905647</v>
      </c>
      <c r="M64" s="559">
        <f t="shared" si="6"/>
        <v>0.23130384615384608</v>
      </c>
      <c r="N64" s="559">
        <f t="shared" si="6"/>
        <v>0.29705769230769252</v>
      </c>
      <c r="O64" s="559">
        <f t="shared" si="6"/>
        <v>0.3012442307692309</v>
      </c>
      <c r="P64" s="559">
        <f t="shared" si="6"/>
        <v>0.27160000000000001</v>
      </c>
      <c r="Q64" s="559">
        <f t="shared" si="6"/>
        <v>0.29490000000000005</v>
      </c>
      <c r="R64" s="559">
        <f t="shared" si="6"/>
        <v>0.38870000000000005</v>
      </c>
      <c r="S64" s="559">
        <f t="shared" si="6"/>
        <v>0.35270000000000012</v>
      </c>
      <c r="T64" s="559">
        <f t="shared" si="6"/>
        <v>0.34299999999999997</v>
      </c>
    </row>
    <row r="65" spans="3:20">
      <c r="C65" s="560" t="s">
        <v>473</v>
      </c>
      <c r="D65" s="21" t="s">
        <v>472</v>
      </c>
      <c r="E65" s="2" t="s">
        <v>232</v>
      </c>
      <c r="F65" s="27" t="s">
        <v>289</v>
      </c>
      <c r="G65" s="562">
        <v>0.84447499999999986</v>
      </c>
      <c r="H65" s="562">
        <v>0.93709615384615386</v>
      </c>
      <c r="I65" s="562">
        <v>0.8867961538461534</v>
      </c>
      <c r="J65" s="562">
        <v>0.80575961538461549</v>
      </c>
      <c r="K65" s="562">
        <v>0.64563461538461542</v>
      </c>
      <c r="L65" s="562">
        <v>0.57499811320754712</v>
      </c>
      <c r="M65" s="562">
        <v>0.67446346153846137</v>
      </c>
      <c r="N65" s="562">
        <v>0.84514423076923084</v>
      </c>
      <c r="O65" s="562">
        <v>0.87024999999999997</v>
      </c>
      <c r="P65" s="562">
        <v>0.69240000000000002</v>
      </c>
      <c r="Q65" s="562">
        <v>0.83240000000000003</v>
      </c>
      <c r="R65" s="562">
        <v>1.3949</v>
      </c>
      <c r="S65" s="562">
        <v>1.1788000000000001</v>
      </c>
      <c r="T65" s="562">
        <v>1.1208</v>
      </c>
    </row>
    <row r="66" spans="3:20">
      <c r="C66" s="554" t="s">
        <v>474</v>
      </c>
      <c r="D66" s="19" t="s">
        <v>471</v>
      </c>
      <c r="E66" s="19" t="s">
        <v>475</v>
      </c>
      <c r="F66" s="555" t="s">
        <v>287</v>
      </c>
      <c r="G66" s="556">
        <v>504.85557692307674</v>
      </c>
      <c r="H66" s="556">
        <v>582.11057692307691</v>
      </c>
      <c r="I66" s="556">
        <v>533.4419230769231</v>
      </c>
      <c r="J66" s="556">
        <v>495.82615384615383</v>
      </c>
      <c r="K66" s="556">
        <v>327.10038461538471</v>
      </c>
      <c r="L66" s="556">
        <v>276.27377358490571</v>
      </c>
      <c r="M66" s="556">
        <v>357.80788461538475</v>
      </c>
      <c r="N66" s="556">
        <v>420.61596153846153</v>
      </c>
      <c r="O66" s="556">
        <v>432.18096153846153</v>
      </c>
      <c r="P66" s="556">
        <v>323.02999999999997</v>
      </c>
      <c r="Q66" s="556">
        <v>459.5</v>
      </c>
      <c r="R66" s="556">
        <v>649.54</v>
      </c>
      <c r="S66" s="556">
        <v>544.76</v>
      </c>
      <c r="T66" s="556">
        <v>566.15</v>
      </c>
    </row>
    <row r="67" spans="3:20">
      <c r="C67" s="557" t="s">
        <v>474</v>
      </c>
      <c r="D67" s="558" t="s">
        <v>216</v>
      </c>
      <c r="E67" s="2" t="s">
        <v>232</v>
      </c>
      <c r="F67" s="26"/>
      <c r="G67" s="559">
        <f t="shared" ref="G67:T67" si="7">G68-G66</f>
        <v>18.500000000000057</v>
      </c>
      <c r="H67" s="559">
        <f t="shared" si="7"/>
        <v>18.5</v>
      </c>
      <c r="I67" s="559">
        <f t="shared" si="7"/>
        <v>18.499999999999886</v>
      </c>
      <c r="J67" s="559">
        <f t="shared" si="7"/>
        <v>21.049999999999955</v>
      </c>
      <c r="K67" s="559">
        <f t="shared" si="7"/>
        <v>45.299999999999955</v>
      </c>
      <c r="L67" s="559">
        <f t="shared" si="7"/>
        <v>68.800000000000068</v>
      </c>
      <c r="M67" s="559">
        <f t="shared" si="7"/>
        <v>95.39999999999975</v>
      </c>
      <c r="N67" s="559">
        <f t="shared" si="7"/>
        <v>139.49999999999989</v>
      </c>
      <c r="O67" s="559">
        <f t="shared" si="7"/>
        <v>139.49999999999994</v>
      </c>
      <c r="P67" s="559">
        <f t="shared" si="7"/>
        <v>139.5</v>
      </c>
      <c r="Q67" s="559">
        <f t="shared" si="7"/>
        <v>139.5</v>
      </c>
      <c r="R67" s="559">
        <f t="shared" si="7"/>
        <v>139.5</v>
      </c>
      <c r="S67" s="559">
        <f t="shared" si="7"/>
        <v>139.5</v>
      </c>
      <c r="T67" s="559">
        <f t="shared" si="7"/>
        <v>139.5</v>
      </c>
    </row>
    <row r="68" spans="3:20">
      <c r="C68" s="560" t="s">
        <v>474</v>
      </c>
      <c r="D68" s="21" t="s">
        <v>476</v>
      </c>
      <c r="E68" s="21" t="s">
        <v>232</v>
      </c>
      <c r="F68" s="27" t="s">
        <v>289</v>
      </c>
      <c r="G68" s="562">
        <v>523.3555769230768</v>
      </c>
      <c r="H68" s="562">
        <v>600.61057692307691</v>
      </c>
      <c r="I68" s="562">
        <v>551.94192307692299</v>
      </c>
      <c r="J68" s="562">
        <v>516.87615384615378</v>
      </c>
      <c r="K68" s="562">
        <v>372.40038461538467</v>
      </c>
      <c r="L68" s="562">
        <v>345.07377358490578</v>
      </c>
      <c r="M68" s="562">
        <v>453.2078846153845</v>
      </c>
      <c r="N68" s="562">
        <v>560.11596153846142</v>
      </c>
      <c r="O68" s="562">
        <v>571.68096153846147</v>
      </c>
      <c r="P68" s="562">
        <v>462.53</v>
      </c>
      <c r="Q68" s="562">
        <v>599</v>
      </c>
      <c r="R68" s="562">
        <v>789.04</v>
      </c>
      <c r="S68" s="562">
        <v>684.26</v>
      </c>
      <c r="T68" s="562">
        <v>705.65</v>
      </c>
    </row>
    <row r="70" spans="3:20">
      <c r="C70" s="377" t="s">
        <v>1240</v>
      </c>
      <c r="G70" s="1374">
        <v>2011</v>
      </c>
      <c r="H70" s="1374">
        <v>2012</v>
      </c>
      <c r="I70" s="1374">
        <v>2013</v>
      </c>
      <c r="J70" s="1374">
        <v>2014</v>
      </c>
      <c r="K70" s="1374">
        <v>2015</v>
      </c>
      <c r="L70" s="1374">
        <v>2016</v>
      </c>
      <c r="M70" s="1374">
        <v>2017</v>
      </c>
      <c r="N70" s="1374">
        <v>2018</v>
      </c>
      <c r="O70" s="1374">
        <v>2019</v>
      </c>
      <c r="P70" s="1374">
        <v>2020</v>
      </c>
      <c r="Q70" s="1374">
        <v>2021</v>
      </c>
      <c r="R70" s="1374">
        <v>2022</v>
      </c>
      <c r="S70" s="1374">
        <v>2023</v>
      </c>
      <c r="T70" s="1374">
        <v>2024</v>
      </c>
    </row>
    <row r="71" spans="3:20">
      <c r="C71" s="554" t="s">
        <v>470</v>
      </c>
      <c r="D71" s="19" t="s">
        <v>471</v>
      </c>
      <c r="E71" s="555" t="s">
        <v>232</v>
      </c>
      <c r="F71" s="1402" t="s">
        <v>287</v>
      </c>
      <c r="G71" s="69">
        <f t="shared" ref="G71:G79" si="8">G60/$T60</f>
        <v>0.81233028994223033</v>
      </c>
      <c r="H71" s="69">
        <f t="shared" ref="H71:T71" si="9">H60/$T60</f>
        <v>0.89253594664042391</v>
      </c>
      <c r="I71" s="69">
        <f t="shared" si="9"/>
        <v>0.85131120952016481</v>
      </c>
      <c r="J71" s="69">
        <f t="shared" si="9"/>
        <v>0.7817915914930843</v>
      </c>
      <c r="K71" s="69">
        <f t="shared" si="9"/>
        <v>0.60624988610063235</v>
      </c>
      <c r="L71" s="69">
        <f t="shared" si="9"/>
        <v>0.51534778935511116</v>
      </c>
      <c r="M71" s="69">
        <f t="shared" si="9"/>
        <v>0.59079146392579229</v>
      </c>
      <c r="N71" s="69">
        <f t="shared" si="9"/>
        <v>0.71479826144005276</v>
      </c>
      <c r="O71" s="69">
        <f t="shared" si="9"/>
        <v>0.73375567218850812</v>
      </c>
      <c r="P71" s="69">
        <f t="shared" si="9"/>
        <v>0.56858564321250893</v>
      </c>
      <c r="Q71" s="69">
        <f t="shared" si="9"/>
        <v>0.70800758114190954</v>
      </c>
      <c r="R71" s="69">
        <f t="shared" si="9"/>
        <v>1.2780146884624497</v>
      </c>
      <c r="S71" s="69">
        <f t="shared" si="9"/>
        <v>1.0633736081497276</v>
      </c>
      <c r="T71" s="69">
        <f t="shared" si="9"/>
        <v>1</v>
      </c>
    </row>
    <row r="72" spans="3:20">
      <c r="C72" s="557" t="s">
        <v>470</v>
      </c>
      <c r="D72" s="558" t="s">
        <v>216</v>
      </c>
      <c r="E72" s="2" t="s">
        <v>232</v>
      </c>
      <c r="F72" s="26"/>
      <c r="G72" s="69">
        <f t="shared" si="8"/>
        <v>0.56737787759685565</v>
      </c>
      <c r="H72" s="69">
        <f t="shared" ref="H72:T72" si="10">H61/$T61</f>
        <v>0.6046192718006318</v>
      </c>
      <c r="I72" s="69">
        <f t="shared" si="10"/>
        <v>0.5855018788062023</v>
      </c>
      <c r="J72" s="69">
        <f t="shared" si="10"/>
        <v>0.56126635857124274</v>
      </c>
      <c r="K72" s="69">
        <f t="shared" si="10"/>
        <v>0.5447674167494494</v>
      </c>
      <c r="L72" s="69">
        <f t="shared" si="10"/>
        <v>0.56870742533874352</v>
      </c>
      <c r="M72" s="69">
        <f t="shared" si="10"/>
        <v>0.68060834449099428</v>
      </c>
      <c r="N72" s="69">
        <f t="shared" si="10"/>
        <v>0.86503908780719518</v>
      </c>
      <c r="O72" s="69">
        <f t="shared" si="10"/>
        <v>0.87403900142530144</v>
      </c>
      <c r="P72" s="69">
        <f t="shared" si="10"/>
        <v>0.79562043795620441</v>
      </c>
      <c r="Q72" s="69">
        <f t="shared" si="10"/>
        <v>0.86187535092644574</v>
      </c>
      <c r="R72" s="69">
        <f t="shared" si="10"/>
        <v>1.1319483436271758</v>
      </c>
      <c r="S72" s="69">
        <f t="shared" si="10"/>
        <v>1.0303200449185848</v>
      </c>
      <c r="T72" s="69">
        <f t="shared" si="10"/>
        <v>1</v>
      </c>
    </row>
    <row r="73" spans="3:20">
      <c r="C73" s="560" t="s">
        <v>470</v>
      </c>
      <c r="D73" s="21" t="s">
        <v>472</v>
      </c>
      <c r="E73" s="21" t="s">
        <v>232</v>
      </c>
      <c r="F73" s="27" t="s">
        <v>289</v>
      </c>
      <c r="G73" s="69">
        <f t="shared" si="8"/>
        <v>0.73964447748186501</v>
      </c>
      <c r="H73" s="69">
        <f t="shared" ref="H73:T73" si="11">H62/$T62</f>
        <v>0.80710115858816311</v>
      </c>
      <c r="I73" s="69">
        <f t="shared" si="11"/>
        <v>0.77243643144592833</v>
      </c>
      <c r="J73" s="69">
        <f t="shared" si="11"/>
        <v>0.71635416399661644</v>
      </c>
      <c r="K73" s="69">
        <f t="shared" si="11"/>
        <v>0.58800592110322203</v>
      </c>
      <c r="L73" s="69">
        <f t="shared" si="11"/>
        <v>0.53118143008934127</v>
      </c>
      <c r="M73" s="69">
        <f t="shared" si="11"/>
        <v>0.61744322405352048</v>
      </c>
      <c r="N73" s="69">
        <f t="shared" si="11"/>
        <v>0.75937988619178232</v>
      </c>
      <c r="O73" s="69">
        <f t="shared" si="11"/>
        <v>0.77538256478609713</v>
      </c>
      <c r="P73" s="69">
        <f t="shared" si="11"/>
        <v>0.63595468177274239</v>
      </c>
      <c r="Q73" s="69">
        <f t="shared" si="11"/>
        <v>0.75366544485171616</v>
      </c>
      <c r="R73" s="69">
        <f t="shared" si="11"/>
        <v>1.234671776074642</v>
      </c>
      <c r="S73" s="69">
        <f t="shared" si="11"/>
        <v>1.0535654781739421</v>
      </c>
      <c r="T73" s="69">
        <f t="shared" si="11"/>
        <v>1</v>
      </c>
    </row>
    <row r="74" spans="3:20">
      <c r="C74" s="557" t="s">
        <v>473</v>
      </c>
      <c r="D74" s="2" t="s">
        <v>471</v>
      </c>
      <c r="E74" s="2" t="s">
        <v>232</v>
      </c>
      <c r="F74" s="1402" t="s">
        <v>287</v>
      </c>
      <c r="G74" s="69">
        <f t="shared" si="8"/>
        <v>0.8349857586486541</v>
      </c>
      <c r="H74" s="69">
        <f t="shared" ref="H74:T74" si="12">H63/$T63</f>
        <v>0.93459115453844177</v>
      </c>
      <c r="I74" s="69">
        <f t="shared" si="12"/>
        <v>0.8805259410170696</v>
      </c>
      <c r="J74" s="69">
        <f t="shared" si="12"/>
        <v>0.79051367763118863</v>
      </c>
      <c r="K74" s="69">
        <f t="shared" si="12"/>
        <v>0.59350831734477916</v>
      </c>
      <c r="L74" s="69">
        <f t="shared" si="12"/>
        <v>0.49223499274683807</v>
      </c>
      <c r="M74" s="69">
        <f t="shared" si="12"/>
        <v>0.5697603694839487</v>
      </c>
      <c r="N74" s="69">
        <f t="shared" si="12"/>
        <v>0.70466255909171804</v>
      </c>
      <c r="O74" s="69">
        <f t="shared" si="12"/>
        <v>0.73155794449828881</v>
      </c>
      <c r="P74" s="69">
        <f t="shared" si="12"/>
        <v>0.54101311391103113</v>
      </c>
      <c r="Q74" s="69">
        <f t="shared" si="12"/>
        <v>0.69105168423759311</v>
      </c>
      <c r="R74" s="69">
        <f t="shared" si="12"/>
        <v>1.2936487528927745</v>
      </c>
      <c r="S74" s="69">
        <f t="shared" si="12"/>
        <v>1.062098225764978</v>
      </c>
      <c r="T74" s="69">
        <f t="shared" si="12"/>
        <v>1</v>
      </c>
    </row>
    <row r="75" spans="3:20">
      <c r="C75" s="557" t="s">
        <v>473</v>
      </c>
      <c r="D75" s="558" t="s">
        <v>216</v>
      </c>
      <c r="E75" s="2" t="s">
        <v>232</v>
      </c>
      <c r="F75" s="26"/>
      <c r="G75" s="69">
        <f t="shared" si="8"/>
        <v>0.56858039919264325</v>
      </c>
      <c r="H75" s="69">
        <f t="shared" ref="H75:T75" si="13">H64/$T64</f>
        <v>0.61274388876429686</v>
      </c>
      <c r="I75" s="69">
        <f t="shared" si="13"/>
        <v>0.58869701726844514</v>
      </c>
      <c r="J75" s="69">
        <f t="shared" si="13"/>
        <v>0.55655416012558878</v>
      </c>
      <c r="K75" s="69">
        <f t="shared" si="13"/>
        <v>0.53645436196456597</v>
      </c>
      <c r="L75" s="69">
        <f t="shared" si="13"/>
        <v>0.56016832609054368</v>
      </c>
      <c r="M75" s="69">
        <f t="shared" si="13"/>
        <v>0.67435523660013441</v>
      </c>
      <c r="N75" s="69">
        <f t="shared" si="13"/>
        <v>0.86605741197578001</v>
      </c>
      <c r="O75" s="69">
        <f t="shared" si="13"/>
        <v>0.87826306346714555</v>
      </c>
      <c r="P75" s="69">
        <f t="shared" si="13"/>
        <v>0.79183673469387761</v>
      </c>
      <c r="Q75" s="69">
        <f t="shared" si="13"/>
        <v>0.85976676384839668</v>
      </c>
      <c r="R75" s="69">
        <f t="shared" si="13"/>
        <v>1.1332361516034988</v>
      </c>
      <c r="S75" s="69">
        <f t="shared" si="13"/>
        <v>1.0282798833819247</v>
      </c>
      <c r="T75" s="69">
        <f t="shared" si="13"/>
        <v>1</v>
      </c>
    </row>
    <row r="76" spans="3:20">
      <c r="C76" s="560" t="s">
        <v>473</v>
      </c>
      <c r="D76" s="21" t="s">
        <v>472</v>
      </c>
      <c r="E76" s="2" t="s">
        <v>232</v>
      </c>
      <c r="F76" s="27" t="s">
        <v>289</v>
      </c>
      <c r="G76" s="69">
        <f t="shared" si="8"/>
        <v>0.75345735189150598</v>
      </c>
      <c r="H76" s="69">
        <f t="shared" ref="H76:T76" si="14">H65/$T65</f>
        <v>0.83609578323175748</v>
      </c>
      <c r="I76" s="69">
        <f t="shared" si="14"/>
        <v>0.79121712513040099</v>
      </c>
      <c r="J76" s="69">
        <f t="shared" si="14"/>
        <v>0.71891471750947133</v>
      </c>
      <c r="K76" s="69">
        <f t="shared" si="14"/>
        <v>0.57604801515401094</v>
      </c>
      <c r="L76" s="69">
        <f t="shared" si="14"/>
        <v>0.51302472627368589</v>
      </c>
      <c r="M76" s="69">
        <f t="shared" si="14"/>
        <v>0.60176968374238171</v>
      </c>
      <c r="N76" s="69">
        <f t="shared" si="14"/>
        <v>0.75405445286333939</v>
      </c>
      <c r="O76" s="69">
        <f t="shared" si="14"/>
        <v>0.77645431834403988</v>
      </c>
      <c r="P76" s="69">
        <f t="shared" si="14"/>
        <v>0.61777301927194861</v>
      </c>
      <c r="Q76" s="69">
        <f t="shared" si="14"/>
        <v>0.74268379728765166</v>
      </c>
      <c r="R76" s="69">
        <f t="shared" si="14"/>
        <v>1.2445574589578872</v>
      </c>
      <c r="S76" s="69">
        <f t="shared" si="14"/>
        <v>1.0517487508922199</v>
      </c>
      <c r="T76" s="69">
        <f t="shared" si="14"/>
        <v>1</v>
      </c>
    </row>
    <row r="77" spans="3:20">
      <c r="C77" s="554" t="s">
        <v>474</v>
      </c>
      <c r="D77" s="19" t="s">
        <v>471</v>
      </c>
      <c r="E77" s="19" t="s">
        <v>475</v>
      </c>
      <c r="F77" s="1402" t="s">
        <v>287</v>
      </c>
      <c r="G77" s="69">
        <f t="shared" si="8"/>
        <v>0.89173465852349509</v>
      </c>
      <c r="H77" s="69">
        <f t="shared" ref="H77:T77" si="15">H66/$T66</f>
        <v>1.0281914279308964</v>
      </c>
      <c r="I77" s="69">
        <f t="shared" si="15"/>
        <v>0.94222718904340397</v>
      </c>
      <c r="J77" s="69">
        <f t="shared" si="15"/>
        <v>0.87578584093641942</v>
      </c>
      <c r="K77" s="69">
        <f t="shared" si="15"/>
        <v>0.57776275654046583</v>
      </c>
      <c r="L77" s="69">
        <f t="shared" si="15"/>
        <v>0.48798688260161743</v>
      </c>
      <c r="M77" s="69">
        <f t="shared" si="15"/>
        <v>0.63200191577388465</v>
      </c>
      <c r="N77" s="69">
        <f t="shared" si="15"/>
        <v>0.74294084878294009</v>
      </c>
      <c r="O77" s="69">
        <f t="shared" si="15"/>
        <v>0.76336829733897649</v>
      </c>
      <c r="P77" s="69">
        <f t="shared" si="15"/>
        <v>0.57057316965468508</v>
      </c>
      <c r="Q77" s="69">
        <f t="shared" si="15"/>
        <v>0.81162236156495626</v>
      </c>
      <c r="R77" s="69">
        <f t="shared" si="15"/>
        <v>1.1472931201978274</v>
      </c>
      <c r="S77" s="69">
        <f t="shared" si="15"/>
        <v>0.96221849333215581</v>
      </c>
      <c r="T77" s="69">
        <f t="shared" si="15"/>
        <v>1</v>
      </c>
    </row>
    <row r="78" spans="3:20">
      <c r="C78" s="557" t="s">
        <v>474</v>
      </c>
      <c r="D78" s="558" t="s">
        <v>216</v>
      </c>
      <c r="E78" s="2" t="s">
        <v>232</v>
      </c>
      <c r="F78" s="26"/>
      <c r="G78" s="69">
        <f t="shared" si="8"/>
        <v>0.13261648745519755</v>
      </c>
      <c r="H78" s="69">
        <f t="shared" ref="H78:T78" si="16">H67/$T67</f>
        <v>0.13261648745519714</v>
      </c>
      <c r="I78" s="69">
        <f t="shared" si="16"/>
        <v>0.13261648745519633</v>
      </c>
      <c r="J78" s="69">
        <f t="shared" si="16"/>
        <v>0.15089605734766992</v>
      </c>
      <c r="K78" s="69">
        <f t="shared" si="16"/>
        <v>0.32473118279569863</v>
      </c>
      <c r="L78" s="69">
        <f t="shared" si="16"/>
        <v>0.49318996415770661</v>
      </c>
      <c r="M78" s="69">
        <f t="shared" si="16"/>
        <v>0.68387096774193368</v>
      </c>
      <c r="N78" s="69">
        <f t="shared" si="16"/>
        <v>0.99999999999999922</v>
      </c>
      <c r="O78" s="69">
        <f t="shared" si="16"/>
        <v>0.99999999999999956</v>
      </c>
      <c r="P78" s="69">
        <f t="shared" si="16"/>
        <v>1</v>
      </c>
      <c r="Q78" s="69">
        <f t="shared" si="16"/>
        <v>1</v>
      </c>
      <c r="R78" s="69">
        <f t="shared" si="16"/>
        <v>1</v>
      </c>
      <c r="S78" s="69">
        <f t="shared" si="16"/>
        <v>1</v>
      </c>
      <c r="T78" s="69">
        <f t="shared" si="16"/>
        <v>1</v>
      </c>
    </row>
    <row r="79" spans="3:20">
      <c r="C79" s="560" t="s">
        <v>474</v>
      </c>
      <c r="D79" s="21" t="s">
        <v>476</v>
      </c>
      <c r="E79" s="21" t="s">
        <v>232</v>
      </c>
      <c r="F79" s="27" t="s">
        <v>289</v>
      </c>
      <c r="G79" s="65">
        <f t="shared" si="8"/>
        <v>0.74166453188277026</v>
      </c>
      <c r="H79" s="65">
        <f t="shared" ref="H79:T79" si="17">H68/$T68</f>
        <v>0.85114515258708556</v>
      </c>
      <c r="I79" s="65">
        <f t="shared" si="17"/>
        <v>0.78217519035913419</v>
      </c>
      <c r="J79" s="65">
        <f t="shared" si="17"/>
        <v>0.73248232671459479</v>
      </c>
      <c r="K79" s="65">
        <f t="shared" si="17"/>
        <v>0.52774092626002223</v>
      </c>
      <c r="L79" s="65">
        <f t="shared" si="17"/>
        <v>0.48901548017417384</v>
      </c>
      <c r="M79" s="65">
        <f t="shared" si="17"/>
        <v>0.64225591244297386</v>
      </c>
      <c r="N79" s="65">
        <f t="shared" si="17"/>
        <v>0.79375889114782316</v>
      </c>
      <c r="O79" s="65">
        <f t="shared" si="17"/>
        <v>0.81014803590797346</v>
      </c>
      <c r="P79" s="65">
        <f t="shared" si="17"/>
        <v>0.65546659108623251</v>
      </c>
      <c r="Q79" s="65">
        <f t="shared" si="17"/>
        <v>0.84886275065542416</v>
      </c>
      <c r="R79" s="65">
        <f t="shared" si="17"/>
        <v>1.11817473251612</v>
      </c>
      <c r="S79" s="65">
        <f t="shared" si="17"/>
        <v>0.96968752214270537</v>
      </c>
      <c r="T79" s="65">
        <f t="shared" si="17"/>
        <v>1</v>
      </c>
    </row>
    <row r="80" spans="3:20">
      <c r="C80" s="560"/>
      <c r="D80" s="21"/>
      <c r="E80" s="21"/>
      <c r="F80" s="27"/>
    </row>
    <row r="81" spans="1:20" ht="18.5">
      <c r="A81" t="s">
        <v>452</v>
      </c>
      <c r="B81" s="102">
        <v>45803</v>
      </c>
      <c r="C81" s="540" t="s">
        <v>407</v>
      </c>
      <c r="D81" s="541"/>
      <c r="E81" s="541"/>
      <c r="F81" s="542"/>
    </row>
    <row r="83" spans="1:20">
      <c r="C83" s="35" t="s">
        <v>469</v>
      </c>
      <c r="D83" s="2"/>
      <c r="E83" s="2"/>
      <c r="F83" s="2"/>
      <c r="G83" s="2"/>
      <c r="H83" s="2"/>
      <c r="I83" s="2"/>
      <c r="J83" s="2"/>
      <c r="K83" s="2"/>
      <c r="L83" s="2"/>
      <c r="M83" s="2"/>
      <c r="N83" s="2"/>
      <c r="O83" s="2"/>
      <c r="P83" s="2"/>
      <c r="Q83" s="2"/>
      <c r="R83" s="2"/>
      <c r="S83" s="2"/>
    </row>
    <row r="84" spans="1:20">
      <c r="C84" s="551"/>
      <c r="D84" s="552"/>
      <c r="E84" s="19" t="s">
        <v>281</v>
      </c>
      <c r="F84" s="19" t="s">
        <v>282</v>
      </c>
      <c r="G84" s="1374">
        <v>2011</v>
      </c>
      <c r="H84" s="1374">
        <v>2012</v>
      </c>
      <c r="I84" s="1374">
        <v>2013</v>
      </c>
      <c r="J84" s="1374">
        <v>2014</v>
      </c>
      <c r="K84" s="1374">
        <v>2015</v>
      </c>
      <c r="L84" s="1374">
        <v>2016</v>
      </c>
      <c r="M84" s="1374">
        <v>2017</v>
      </c>
      <c r="N84" s="1374">
        <v>2018</v>
      </c>
      <c r="O84" s="1374">
        <v>2019</v>
      </c>
      <c r="P84" s="1374">
        <v>2020</v>
      </c>
      <c r="Q84" s="1374">
        <v>2021</v>
      </c>
      <c r="R84" s="1374">
        <v>2022</v>
      </c>
      <c r="S84" s="1374">
        <v>2023</v>
      </c>
      <c r="T84" s="1374">
        <v>2024</v>
      </c>
    </row>
    <row r="85" spans="1:20">
      <c r="C85" s="560" t="s">
        <v>436</v>
      </c>
      <c r="D85" s="561" t="s">
        <v>472</v>
      </c>
      <c r="E85" s="561" t="s">
        <v>232</v>
      </c>
      <c r="F85" s="561" t="s">
        <v>289</v>
      </c>
      <c r="G85" s="562">
        <v>1.3354423076923079</v>
      </c>
      <c r="H85" s="562">
        <v>1.395775</v>
      </c>
      <c r="I85" s="562">
        <v>1.3501807692307692</v>
      </c>
      <c r="J85" s="562">
        <v>1.2856192307692309</v>
      </c>
      <c r="K85" s="562">
        <v>1.1493730769230768</v>
      </c>
      <c r="L85" s="562">
        <v>1.1054981132075477</v>
      </c>
      <c r="M85" s="562">
        <v>1.2325326923076925</v>
      </c>
      <c r="N85" s="562">
        <v>1.4371865384615385</v>
      </c>
      <c r="O85" s="562">
        <v>1.4404615384615385</v>
      </c>
      <c r="P85" s="562">
        <v>1.2599</v>
      </c>
      <c r="Q85" s="562">
        <v>1.4300999999999999</v>
      </c>
      <c r="R85" s="562">
        <v>1.8484</v>
      </c>
      <c r="S85" s="562">
        <v>1.7948</v>
      </c>
      <c r="T85" s="562">
        <v>1.6943999999999999</v>
      </c>
    </row>
    <row r="86" spans="1:20">
      <c r="C86" s="560" t="s">
        <v>481</v>
      </c>
      <c r="D86" s="561" t="s">
        <v>472</v>
      </c>
      <c r="E86" s="561" t="s">
        <v>232</v>
      </c>
      <c r="F86" s="561" t="s">
        <v>289</v>
      </c>
      <c r="G86" s="562">
        <v>1.4995346153846152</v>
      </c>
      <c r="H86" s="562">
        <v>1.5657750000000008</v>
      </c>
      <c r="I86" s="562">
        <v>1.5367346153846151</v>
      </c>
      <c r="J86" s="562">
        <v>1.484582692307693</v>
      </c>
      <c r="K86" s="562">
        <v>1.3531096153846158</v>
      </c>
      <c r="L86" s="562">
        <v>1.303935849056604</v>
      </c>
      <c r="M86" s="562">
        <v>1.3766596153846153</v>
      </c>
      <c r="N86" s="562">
        <v>1.5047999999999997</v>
      </c>
      <c r="O86" s="562">
        <v>1.5068519230769237</v>
      </c>
      <c r="P86" s="562">
        <v>1.3551</v>
      </c>
      <c r="Q86" s="562">
        <v>1.5513999999999999</v>
      </c>
      <c r="R86" s="562">
        <v>1.8092999999999999</v>
      </c>
      <c r="S86" s="562">
        <v>1.8832</v>
      </c>
      <c r="T86" s="562">
        <v>1.8210999999999999</v>
      </c>
    </row>
    <row r="87" spans="1:20">
      <c r="C87" s="557" t="s">
        <v>482</v>
      </c>
      <c r="D87" s="558" t="s">
        <v>472</v>
      </c>
      <c r="E87" s="561" t="s">
        <v>232</v>
      </c>
      <c r="F87" s="561" t="s">
        <v>289</v>
      </c>
      <c r="G87" s="559"/>
      <c r="H87" s="559"/>
      <c r="I87" s="562">
        <v>1.5109961538461538</v>
      </c>
      <c r="J87" s="562">
        <v>1.4758634615384616</v>
      </c>
      <c r="K87" s="562">
        <v>1.3455923076923073</v>
      </c>
      <c r="L87" s="562">
        <v>1.2813641509433962</v>
      </c>
      <c r="M87" s="562">
        <v>1.3543192307692304</v>
      </c>
      <c r="N87" s="562">
        <v>1.482503846153846</v>
      </c>
      <c r="O87" s="562">
        <v>1.4831807692307695</v>
      </c>
      <c r="P87" s="562">
        <v>1.3386</v>
      </c>
      <c r="Q87" s="562">
        <v>1.5281</v>
      </c>
      <c r="R87" s="562">
        <v>1.7653000000000001</v>
      </c>
      <c r="S87" s="562">
        <v>1.8575999999999999</v>
      </c>
      <c r="T87" s="562">
        <v>1.7837000000000001</v>
      </c>
    </row>
    <row r="88" spans="1:20">
      <c r="C88" s="560" t="s">
        <v>483</v>
      </c>
      <c r="D88" s="561" t="s">
        <v>472</v>
      </c>
      <c r="E88" s="561" t="s">
        <v>232</v>
      </c>
      <c r="F88" s="561" t="s">
        <v>289</v>
      </c>
      <c r="G88" s="562">
        <v>1.5374288461538457</v>
      </c>
      <c r="H88" s="562">
        <v>1.618167307692308</v>
      </c>
      <c r="I88" s="562">
        <v>1.5942769230769234</v>
      </c>
      <c r="J88" s="562">
        <v>1.5448038461538458</v>
      </c>
      <c r="K88" s="562">
        <v>1.4149634615384614</v>
      </c>
      <c r="L88" s="562">
        <v>1.3624056603773584</v>
      </c>
      <c r="M88" s="562">
        <v>1.4430365384615387</v>
      </c>
      <c r="N88" s="562">
        <v>1.571490384615384</v>
      </c>
      <c r="O88" s="562">
        <v>1.5692942307692308</v>
      </c>
      <c r="P88" s="562">
        <v>1.4188000000000001</v>
      </c>
      <c r="Q88" s="562">
        <v>1.6123000000000001</v>
      </c>
      <c r="R88" s="562">
        <v>1.8633999999999999</v>
      </c>
      <c r="S88" s="562">
        <v>1.9389000000000001</v>
      </c>
      <c r="T88" s="562">
        <v>1.8816999999999999</v>
      </c>
    </row>
    <row r="89" spans="1:20">
      <c r="C89" s="563" t="s">
        <v>484</v>
      </c>
      <c r="D89" s="63"/>
      <c r="E89" s="63"/>
      <c r="F89" s="64"/>
      <c r="G89" s="69">
        <v>1.5184817307692304</v>
      </c>
      <c r="H89" s="70">
        <v>1.5919711538461545</v>
      </c>
      <c r="I89" s="70">
        <v>1.5655057692307692</v>
      </c>
      <c r="J89" s="70">
        <v>1.5146932692307695</v>
      </c>
      <c r="K89" s="70">
        <v>1.3840365384615385</v>
      </c>
      <c r="L89" s="70">
        <v>1.3331707547169813</v>
      </c>
      <c r="M89" s="70">
        <v>1.409848076923077</v>
      </c>
      <c r="N89" s="70">
        <v>1.5381451923076919</v>
      </c>
      <c r="O89" s="70">
        <v>1.5380730769230773</v>
      </c>
      <c r="P89" s="70">
        <v>1.3869500000000001</v>
      </c>
      <c r="Q89" s="70">
        <v>1.58185</v>
      </c>
      <c r="R89" s="70">
        <v>1.8363499999999999</v>
      </c>
      <c r="S89" s="29">
        <v>1.9110499999999999</v>
      </c>
      <c r="T89" s="29">
        <v>1.8513999999999999</v>
      </c>
    </row>
    <row r="90" spans="1:20">
      <c r="C90" s="560" t="s">
        <v>485</v>
      </c>
      <c r="D90" s="561" t="s">
        <v>472</v>
      </c>
      <c r="E90" s="561" t="s">
        <v>232</v>
      </c>
      <c r="F90" s="561" t="s">
        <v>289</v>
      </c>
      <c r="G90" s="1317">
        <v>0.85400192307692313</v>
      </c>
      <c r="H90" s="1317">
        <v>0.88225000000000009</v>
      </c>
      <c r="I90" s="1317">
        <v>0.87311730769230733</v>
      </c>
      <c r="J90" s="1317">
        <v>0.85647307692307706</v>
      </c>
      <c r="K90" s="1317">
        <v>0.78665961538461526</v>
      </c>
      <c r="L90" s="1317">
        <v>0.70924716981132052</v>
      </c>
      <c r="M90" s="1317">
        <v>0.74217307692307655</v>
      </c>
      <c r="N90" s="1317">
        <v>0.82106730769230762</v>
      </c>
      <c r="O90" s="1317">
        <v>0.85634807692307702</v>
      </c>
      <c r="P90" s="1317">
        <v>0.84489999999999998</v>
      </c>
      <c r="Q90" s="1317">
        <v>0.85340000000000005</v>
      </c>
      <c r="R90" s="1317">
        <v>0.84440000000000004</v>
      </c>
      <c r="S90" s="1317">
        <v>0.98019999999999996</v>
      </c>
      <c r="T90" s="1317">
        <v>0.98680000000000001</v>
      </c>
    </row>
    <row r="92" spans="1:20">
      <c r="C92" s="377" t="s">
        <v>1242</v>
      </c>
      <c r="G92" s="1404">
        <v>2011</v>
      </c>
      <c r="H92" s="1404">
        <v>2012</v>
      </c>
      <c r="I92" s="1404">
        <v>2013</v>
      </c>
      <c r="J92" s="1404">
        <v>2014</v>
      </c>
      <c r="K92" s="1404">
        <v>2015</v>
      </c>
      <c r="L92" s="1404">
        <v>2016</v>
      </c>
      <c r="M92" s="1404">
        <v>2017</v>
      </c>
      <c r="N92" s="1404">
        <v>2018</v>
      </c>
      <c r="O92" s="1404">
        <v>2019</v>
      </c>
      <c r="P92" s="1404">
        <v>2020</v>
      </c>
      <c r="Q92" s="1404">
        <v>2021</v>
      </c>
      <c r="R92" s="1404">
        <v>2022</v>
      </c>
      <c r="S92" s="1404">
        <v>2023</v>
      </c>
      <c r="T92" s="1404">
        <v>2024</v>
      </c>
    </row>
    <row r="93" spans="1:20">
      <c r="C93" s="563" t="s">
        <v>436</v>
      </c>
      <c r="D93" s="1403" t="s">
        <v>472</v>
      </c>
      <c r="E93" s="1403" t="s">
        <v>232</v>
      </c>
      <c r="F93" s="1403" t="s">
        <v>289</v>
      </c>
      <c r="G93" s="69">
        <f t="shared" ref="G93:G98" si="18">G85/$T85</f>
        <v>0.78815055930849143</v>
      </c>
      <c r="H93" s="70">
        <f t="shared" ref="H93:T93" si="19">H85/$T85</f>
        <v>0.82375767233238906</v>
      </c>
      <c r="I93" s="70">
        <f t="shared" si="19"/>
        <v>0.79684889591051067</v>
      </c>
      <c r="J93" s="70">
        <f t="shared" si="19"/>
        <v>0.75874600493934785</v>
      </c>
      <c r="K93" s="70">
        <f t="shared" si="19"/>
        <v>0.67833632962882251</v>
      </c>
      <c r="L93" s="70">
        <f t="shared" si="19"/>
        <v>0.65244222923013906</v>
      </c>
      <c r="M93" s="70">
        <f t="shared" si="19"/>
        <v>0.72741542275005466</v>
      </c>
      <c r="N93" s="70">
        <f t="shared" si="19"/>
        <v>0.84819790985690424</v>
      </c>
      <c r="O93" s="70">
        <f t="shared" si="19"/>
        <v>0.85013074743952932</v>
      </c>
      <c r="P93" s="70">
        <f t="shared" si="19"/>
        <v>0.74356704438149201</v>
      </c>
      <c r="Q93" s="70">
        <f t="shared" si="19"/>
        <v>0.84401558073654392</v>
      </c>
      <c r="R93" s="70">
        <f t="shared" si="19"/>
        <v>1.0908876298394712</v>
      </c>
      <c r="S93" s="70">
        <f t="shared" si="19"/>
        <v>1.059254013220019</v>
      </c>
      <c r="T93" s="29">
        <f t="shared" si="19"/>
        <v>1</v>
      </c>
    </row>
    <row r="94" spans="1:20">
      <c r="C94" s="560" t="s">
        <v>481</v>
      </c>
      <c r="D94" s="561" t="s">
        <v>472</v>
      </c>
      <c r="E94" s="561" t="s">
        <v>232</v>
      </c>
      <c r="F94" s="561" t="s">
        <v>289</v>
      </c>
      <c r="G94" s="71">
        <f t="shared" si="18"/>
        <v>0.82342244543661258</v>
      </c>
      <c r="H94">
        <f t="shared" ref="H94:T94" si="20">H86/$T86</f>
        <v>0.85979627697545491</v>
      </c>
      <c r="I94">
        <f t="shared" si="20"/>
        <v>0.84384965975762738</v>
      </c>
      <c r="J94">
        <f t="shared" si="20"/>
        <v>0.81521206540425739</v>
      </c>
      <c r="K94">
        <f t="shared" si="20"/>
        <v>0.7430177449808445</v>
      </c>
      <c r="L94">
        <f t="shared" si="20"/>
        <v>0.71601551208423697</v>
      </c>
      <c r="M94">
        <f t="shared" si="20"/>
        <v>0.75594948953084151</v>
      </c>
      <c r="N94">
        <f t="shared" si="20"/>
        <v>0.82631376640491994</v>
      </c>
      <c r="O94">
        <f t="shared" si="20"/>
        <v>0.82744051566466625</v>
      </c>
      <c r="P94">
        <f t="shared" si="20"/>
        <v>0.74411070232277199</v>
      </c>
      <c r="Q94">
        <f t="shared" si="20"/>
        <v>0.85190269617264291</v>
      </c>
      <c r="R94">
        <f t="shared" si="20"/>
        <v>0.9935203997583878</v>
      </c>
      <c r="S94">
        <f t="shared" si="20"/>
        <v>1.0341002690681456</v>
      </c>
      <c r="T94" s="31">
        <f t="shared" si="20"/>
        <v>1</v>
      </c>
    </row>
    <row r="95" spans="1:20">
      <c r="C95" s="557" t="s">
        <v>482</v>
      </c>
      <c r="D95" s="558" t="s">
        <v>472</v>
      </c>
      <c r="E95" s="561" t="s">
        <v>232</v>
      </c>
      <c r="F95" s="561" t="s">
        <v>289</v>
      </c>
      <c r="G95" s="71">
        <f t="shared" si="18"/>
        <v>0</v>
      </c>
      <c r="H95">
        <f t="shared" ref="H95:T95" si="21">H87/$T87</f>
        <v>0</v>
      </c>
      <c r="I95">
        <f t="shared" si="21"/>
        <v>0.84711339005783137</v>
      </c>
      <c r="J95">
        <f t="shared" si="21"/>
        <v>0.82741686468490305</v>
      </c>
      <c r="K95">
        <f t="shared" si="21"/>
        <v>0.75438263592101096</v>
      </c>
      <c r="L95">
        <f t="shared" si="21"/>
        <v>0.71837425068307237</v>
      </c>
      <c r="M95">
        <f t="shared" si="21"/>
        <v>0.75927523169211775</v>
      </c>
      <c r="N95">
        <f t="shared" si="21"/>
        <v>0.83113967940452205</v>
      </c>
      <c r="O95">
        <f t="shared" si="21"/>
        <v>0.83151918440924455</v>
      </c>
      <c r="P95">
        <f t="shared" si="21"/>
        <v>0.75046252172450523</v>
      </c>
      <c r="Q95">
        <f t="shared" si="21"/>
        <v>0.85670236026237589</v>
      </c>
      <c r="R95">
        <f t="shared" si="21"/>
        <v>0.98968436396254977</v>
      </c>
      <c r="S95">
        <f t="shared" si="21"/>
        <v>1.0414307338678028</v>
      </c>
      <c r="T95" s="31">
        <f t="shared" si="21"/>
        <v>1</v>
      </c>
    </row>
    <row r="96" spans="1:20">
      <c r="C96" s="560" t="s">
        <v>483</v>
      </c>
      <c r="D96" s="561" t="s">
        <v>472</v>
      </c>
      <c r="E96" s="561" t="s">
        <v>232</v>
      </c>
      <c r="F96" s="561" t="s">
        <v>289</v>
      </c>
      <c r="G96" s="71">
        <f t="shared" si="18"/>
        <v>0.81704248613160746</v>
      </c>
      <c r="H96">
        <f t="shared" ref="H96:T96" si="22">H88/$T88</f>
        <v>0.85994967725583682</v>
      </c>
      <c r="I96">
        <f t="shared" si="22"/>
        <v>0.84725350644466357</v>
      </c>
      <c r="J96">
        <f t="shared" si="22"/>
        <v>0.82096181439860016</v>
      </c>
      <c r="K96">
        <f t="shared" si="22"/>
        <v>0.75196017512805524</v>
      </c>
      <c r="L96">
        <f t="shared" si="22"/>
        <v>0.72402915468850426</v>
      </c>
      <c r="M96">
        <f t="shared" si="22"/>
        <v>0.76687917227057378</v>
      </c>
      <c r="N96">
        <f t="shared" si="22"/>
        <v>0.83514395738714142</v>
      </c>
      <c r="O96">
        <f t="shared" si="22"/>
        <v>0.83397684581454579</v>
      </c>
      <c r="P96">
        <f t="shared" si="22"/>
        <v>0.7539990434181858</v>
      </c>
      <c r="Q96">
        <f t="shared" si="22"/>
        <v>0.85683158845724616</v>
      </c>
      <c r="R96">
        <f t="shared" si="22"/>
        <v>0.99027475155444544</v>
      </c>
      <c r="S96">
        <f t="shared" si="22"/>
        <v>1.0303980443216241</v>
      </c>
      <c r="T96" s="31">
        <f t="shared" si="22"/>
        <v>1</v>
      </c>
    </row>
    <row r="97" spans="1:20">
      <c r="C97" s="563" t="s">
        <v>484</v>
      </c>
      <c r="D97" s="63"/>
      <c r="E97" s="63"/>
      <c r="F97" s="63"/>
      <c r="G97" s="71">
        <f t="shared" si="18"/>
        <v>0.82018025859848254</v>
      </c>
      <c r="H97">
        <f t="shared" ref="H97:T97" si="23">H89/$T89</f>
        <v>0.85987423238962657</v>
      </c>
      <c r="I97">
        <f t="shared" si="23"/>
        <v>0.84557943676718661</v>
      </c>
      <c r="J97">
        <f t="shared" si="23"/>
        <v>0.81813399007819465</v>
      </c>
      <c r="K97">
        <f t="shared" si="23"/>
        <v>0.74756213593039789</v>
      </c>
      <c r="L97">
        <f t="shared" si="23"/>
        <v>0.72008790899696518</v>
      </c>
      <c r="M97">
        <f t="shared" si="23"/>
        <v>0.7615037684579653</v>
      </c>
      <c r="N97">
        <f t="shared" si="23"/>
        <v>0.83080111931926759</v>
      </c>
      <c r="O97">
        <f t="shared" si="23"/>
        <v>0.83076216750733356</v>
      </c>
      <c r="P97">
        <f t="shared" si="23"/>
        <v>0.74913578913254841</v>
      </c>
      <c r="Q97">
        <f t="shared" si="23"/>
        <v>0.85440747542400353</v>
      </c>
      <c r="R97">
        <f t="shared" si="23"/>
        <v>0.99187101652803289</v>
      </c>
      <c r="S97">
        <f t="shared" si="23"/>
        <v>1.0322188614021821</v>
      </c>
      <c r="T97" s="31">
        <f t="shared" si="23"/>
        <v>1</v>
      </c>
    </row>
    <row r="98" spans="1:20">
      <c r="C98" s="560" t="s">
        <v>485</v>
      </c>
      <c r="D98" s="561" t="s">
        <v>472</v>
      </c>
      <c r="E98" s="561" t="s">
        <v>232</v>
      </c>
      <c r="F98" s="561" t="s">
        <v>289</v>
      </c>
      <c r="G98" s="91">
        <f t="shared" si="18"/>
        <v>0.86542554020766427</v>
      </c>
      <c r="H98" s="92">
        <f t="shared" ref="H98:T98" si="24">H90/$T90</f>
        <v>0.89405147952979336</v>
      </c>
      <c r="I98" s="92">
        <f t="shared" si="24"/>
        <v>0.88479662311745777</v>
      </c>
      <c r="J98" s="92">
        <f t="shared" si="24"/>
        <v>0.86792974961803515</v>
      </c>
      <c r="K98" s="92">
        <f t="shared" si="24"/>
        <v>0.79718242337314071</v>
      </c>
      <c r="L98" s="92">
        <f t="shared" si="24"/>
        <v>0.71873446474596725</v>
      </c>
      <c r="M98" s="92">
        <f t="shared" si="24"/>
        <v>0.75210080758317444</v>
      </c>
      <c r="N98" s="92">
        <f t="shared" si="24"/>
        <v>0.83205037261076975</v>
      </c>
      <c r="O98" s="92">
        <f t="shared" si="24"/>
        <v>0.86780307754669339</v>
      </c>
      <c r="P98" s="92">
        <f t="shared" si="24"/>
        <v>0.85620186461289016</v>
      </c>
      <c r="Q98" s="92">
        <f t="shared" si="24"/>
        <v>0.86481556546412652</v>
      </c>
      <c r="R98" s="92">
        <f t="shared" si="24"/>
        <v>0.85569517632752334</v>
      </c>
      <c r="S98" s="92">
        <f t="shared" si="24"/>
        <v>0.99331171463315759</v>
      </c>
      <c r="T98" s="33">
        <f t="shared" si="24"/>
        <v>1</v>
      </c>
    </row>
    <row r="99" spans="1:20">
      <c r="C99" s="558"/>
      <c r="D99" s="558"/>
      <c r="E99" s="558"/>
      <c r="F99" s="558"/>
    </row>
    <row r="100" spans="1:20">
      <c r="C100" s="558"/>
      <c r="D100" s="558"/>
      <c r="E100" s="558"/>
      <c r="F100" s="558"/>
    </row>
    <row r="101" spans="1:20" ht="18.5">
      <c r="A101" t="s">
        <v>452</v>
      </c>
      <c r="B101" s="102">
        <v>45803</v>
      </c>
      <c r="C101" s="571" t="s">
        <v>486</v>
      </c>
      <c r="D101" s="572"/>
      <c r="E101" s="572"/>
      <c r="F101" s="573"/>
    </row>
    <row r="103" spans="1:20">
      <c r="C103" s="35" t="s">
        <v>487</v>
      </c>
      <c r="D103" s="2"/>
      <c r="E103" s="2"/>
      <c r="F103" s="2"/>
    </row>
    <row r="104" spans="1:20">
      <c r="C104" s="569"/>
      <c r="D104" s="570"/>
      <c r="E104" s="19" t="s">
        <v>281</v>
      </c>
      <c r="F104" s="19" t="s">
        <v>282</v>
      </c>
      <c r="G104" s="1374">
        <v>2011</v>
      </c>
      <c r="H104" s="1374">
        <v>2012</v>
      </c>
      <c r="I104" s="1374">
        <v>2013</v>
      </c>
      <c r="J104" s="1374">
        <v>2014</v>
      </c>
      <c r="K104" s="1374">
        <v>2015</v>
      </c>
      <c r="L104" s="1374">
        <v>2016</v>
      </c>
      <c r="M104" s="1374">
        <v>2017</v>
      </c>
      <c r="N104" s="1374">
        <v>2018</v>
      </c>
      <c r="O104" s="1374">
        <v>2019</v>
      </c>
      <c r="P104" s="1374">
        <v>2020</v>
      </c>
      <c r="Q104" s="1374">
        <v>2021</v>
      </c>
      <c r="R104" s="1374">
        <v>2022</v>
      </c>
      <c r="S104" s="1374">
        <v>2023</v>
      </c>
      <c r="T104" s="1374">
        <v>2024</v>
      </c>
    </row>
    <row r="105" spans="1:20">
      <c r="C105" s="554" t="s">
        <v>488</v>
      </c>
      <c r="D105" s="555"/>
      <c r="E105" s="19" t="s">
        <v>489</v>
      </c>
      <c r="F105" s="24" t="s">
        <v>287</v>
      </c>
      <c r="G105" s="574">
        <v>31.663613233272599</v>
      </c>
      <c r="H105" s="574">
        <v>34.574898657372501</v>
      </c>
      <c r="I105" s="574">
        <v>33.9785112017505</v>
      </c>
      <c r="J105" s="574">
        <v>32.282112902812599</v>
      </c>
      <c r="K105" s="574">
        <v>28.997088965541099</v>
      </c>
      <c r="L105" s="574">
        <v>25.7817124511716</v>
      </c>
      <c r="M105" s="574">
        <v>26.3844399858915</v>
      </c>
      <c r="N105" s="574">
        <v>29.636945499747899</v>
      </c>
      <c r="O105" s="574">
        <v>26.243111777508201</v>
      </c>
      <c r="P105" s="574">
        <v>23.6004052911331</v>
      </c>
      <c r="Q105" s="574">
        <v>40.271782316504598</v>
      </c>
    </row>
    <row r="106" spans="1:20">
      <c r="C106" s="560" t="s">
        <v>490</v>
      </c>
      <c r="D106" s="561"/>
      <c r="E106" s="21" t="s">
        <v>491</v>
      </c>
      <c r="F106" s="21" t="s">
        <v>232</v>
      </c>
      <c r="G106" s="1363">
        <v>71.645200619999997</v>
      </c>
      <c r="H106" s="1363">
        <v>77.877525579999997</v>
      </c>
      <c r="I106" s="1363">
        <v>78.870164320000001</v>
      </c>
      <c r="J106" s="1363">
        <v>78.624418169999998</v>
      </c>
      <c r="K106" s="1363">
        <v>76.925753409999999</v>
      </c>
      <c r="L106" s="1363">
        <v>77.287055359999997</v>
      </c>
      <c r="M106" s="1363">
        <v>79.496645240000007</v>
      </c>
      <c r="N106" s="1363">
        <v>85.240148880000007</v>
      </c>
      <c r="O106" s="1363">
        <v>85.245295830000003</v>
      </c>
      <c r="P106" s="1363">
        <v>81.631909609999994</v>
      </c>
      <c r="Q106" s="1363">
        <v>89.211629380000005</v>
      </c>
      <c r="R106" s="1363">
        <v>112.1690207</v>
      </c>
      <c r="S106" s="1363">
        <v>118.9445906</v>
      </c>
      <c r="T106" s="1363">
        <v>120.14382569999999</v>
      </c>
    </row>
    <row r="108" spans="1:20">
      <c r="C108" s="377" t="s">
        <v>1242</v>
      </c>
      <c r="G108" s="65">
        <f>G106/$T106</f>
        <v>0.59632861033490459</v>
      </c>
      <c r="H108" s="63">
        <f t="shared" ref="H108:T108" si="25">H106/$T106</f>
        <v>0.64820247837338507</v>
      </c>
      <c r="I108" s="63">
        <f t="shared" si="25"/>
        <v>0.65646456536967102</v>
      </c>
      <c r="J108" s="63">
        <f t="shared" si="25"/>
        <v>0.65441913233498772</v>
      </c>
      <c r="K108" s="63">
        <f t="shared" si="25"/>
        <v>0.6402805384446818</v>
      </c>
      <c r="L108" s="63">
        <f t="shared" si="25"/>
        <v>0.64328778370173045</v>
      </c>
      <c r="M108" s="63">
        <f t="shared" si="25"/>
        <v>0.66167898996743879</v>
      </c>
      <c r="N108" s="63">
        <f t="shared" si="25"/>
        <v>0.70948422345768547</v>
      </c>
      <c r="O108" s="63">
        <f t="shared" si="25"/>
        <v>0.7095270633620252</v>
      </c>
      <c r="P108" s="63">
        <f t="shared" si="25"/>
        <v>0.67945155844991545</v>
      </c>
      <c r="Q108" s="63">
        <f t="shared" si="25"/>
        <v>0.74254027504303133</v>
      </c>
      <c r="R108" s="63">
        <f t="shared" si="25"/>
        <v>0.93362284783644944</v>
      </c>
      <c r="S108" s="63">
        <f t="shared" si="25"/>
        <v>0.99001833766310643</v>
      </c>
      <c r="T108" s="64">
        <f t="shared" si="25"/>
        <v>1</v>
      </c>
    </row>
    <row r="110" spans="1:20">
      <c r="A110" s="1397" t="s">
        <v>1237</v>
      </c>
      <c r="G110" s="344">
        <v>2011</v>
      </c>
      <c r="H110" s="345">
        <v>2012</v>
      </c>
      <c r="I110" s="345">
        <v>2013</v>
      </c>
      <c r="J110" s="345">
        <v>2014</v>
      </c>
      <c r="K110" s="345">
        <v>2015</v>
      </c>
      <c r="L110" s="345">
        <v>2016</v>
      </c>
      <c r="M110" s="345">
        <v>2017</v>
      </c>
      <c r="N110" s="345">
        <v>2018</v>
      </c>
      <c r="O110" s="345">
        <v>2019</v>
      </c>
      <c r="P110" s="345">
        <v>2020</v>
      </c>
      <c r="Q110" s="345">
        <v>2021</v>
      </c>
      <c r="R110" s="345">
        <v>2022</v>
      </c>
      <c r="S110" s="345">
        <v>2023</v>
      </c>
      <c r="T110" s="346">
        <v>2024</v>
      </c>
    </row>
    <row r="111" spans="1:20">
      <c r="A111" t="s">
        <v>1238</v>
      </c>
      <c r="G111" s="357">
        <v>0.6181829189715633</v>
      </c>
      <c r="H111" s="331">
        <v>0.61276647691076735</v>
      </c>
      <c r="I111" s="331">
        <v>0.63778901702958102</v>
      </c>
      <c r="J111" s="331">
        <v>0.63040503234971623</v>
      </c>
      <c r="K111" s="331">
        <v>0.66461837676432889</v>
      </c>
      <c r="L111" s="331">
        <v>0.67036047780498664</v>
      </c>
      <c r="M111" s="331">
        <v>0.65538175730409076</v>
      </c>
      <c r="N111" s="331">
        <v>0.63275853188223863</v>
      </c>
      <c r="O111" s="331">
        <v>0.636840555168665</v>
      </c>
      <c r="P111" s="331">
        <v>0.67792286590477557</v>
      </c>
      <c r="Q111" s="331">
        <v>0.64411007066564285</v>
      </c>
      <c r="R111" s="331">
        <v>0.63600915615821552</v>
      </c>
      <c r="S111" s="331">
        <v>0.69698376043604293</v>
      </c>
      <c r="T111" s="289">
        <v>0.69171266795388175</v>
      </c>
    </row>
    <row r="112" spans="1:20">
      <c r="A112" t="s">
        <v>1239</v>
      </c>
      <c r="G112" s="117">
        <v>0.38181708102843664</v>
      </c>
      <c r="H112" s="118">
        <v>0.38723352308923265</v>
      </c>
      <c r="I112" s="118">
        <v>0.36221098297041904</v>
      </c>
      <c r="J112" s="118">
        <v>0.36959496765028377</v>
      </c>
      <c r="K112" s="118">
        <v>0.33538162323567117</v>
      </c>
      <c r="L112" s="118">
        <v>0.3296395221950133</v>
      </c>
      <c r="M112" s="118">
        <v>0.34461824269590929</v>
      </c>
      <c r="N112" s="118">
        <v>0.36724146811776132</v>
      </c>
      <c r="O112" s="118">
        <v>0.36315944483133494</v>
      </c>
      <c r="P112" s="118">
        <v>0.32207713409522437</v>
      </c>
      <c r="Q112" s="118">
        <v>0.35588992933435709</v>
      </c>
      <c r="R112" s="118">
        <v>0.36399084384178448</v>
      </c>
      <c r="S112" s="118">
        <v>0.30301623956395712</v>
      </c>
      <c r="T112" s="119">
        <v>0.30828733204611819</v>
      </c>
    </row>
    <row r="114" spans="3:20">
      <c r="C114" s="15"/>
      <c r="G114" s="344">
        <v>2011</v>
      </c>
      <c r="H114" s="345">
        <v>2012</v>
      </c>
      <c r="I114" s="345">
        <v>2013</v>
      </c>
      <c r="J114" s="345">
        <v>2014</v>
      </c>
      <c r="K114" s="345">
        <v>2015</v>
      </c>
      <c r="L114" s="345">
        <v>2016</v>
      </c>
      <c r="M114" s="345">
        <v>2017</v>
      </c>
      <c r="N114" s="345">
        <v>2018</v>
      </c>
      <c r="O114" s="345">
        <v>2019</v>
      </c>
      <c r="P114" s="345">
        <v>2020</v>
      </c>
      <c r="Q114" s="345">
        <v>2021</v>
      </c>
      <c r="R114" s="345">
        <v>2022</v>
      </c>
      <c r="S114" s="345">
        <v>2023</v>
      </c>
      <c r="T114" s="346">
        <v>2024</v>
      </c>
    </row>
    <row r="115" spans="3:20">
      <c r="C115" s="15" t="s">
        <v>1243</v>
      </c>
      <c r="G115" s="831">
        <f t="shared" ref="G115:T115" si="26">((G111*G9)+(G112*G22))/1</f>
        <v>0.65878494268799992</v>
      </c>
      <c r="H115" s="185">
        <f t="shared" si="26"/>
        <v>0.70181976274247138</v>
      </c>
      <c r="I115" s="185">
        <f t="shared" si="26"/>
        <v>0.68429963540416505</v>
      </c>
      <c r="J115" s="185">
        <f t="shared" si="26"/>
        <v>0.65425415486854177</v>
      </c>
      <c r="K115" s="185">
        <f t="shared" si="26"/>
        <v>0.59676131932969734</v>
      </c>
      <c r="L115" s="185">
        <f t="shared" si="26"/>
        <v>0.56531320950763297</v>
      </c>
      <c r="M115" s="185">
        <f t="shared" si="26"/>
        <v>0.59147079209613418</v>
      </c>
      <c r="N115" s="185">
        <f t="shared" si="26"/>
        <v>0.67509222681303482</v>
      </c>
      <c r="O115" s="185">
        <f t="shared" si="26"/>
        <v>0.67807876342941387</v>
      </c>
      <c r="P115" s="185">
        <f t="shared" si="26"/>
        <v>0.59681291912637302</v>
      </c>
      <c r="Q115" s="185">
        <f t="shared" si="26"/>
        <v>0.7112913103938312</v>
      </c>
      <c r="R115" s="185">
        <f t="shared" si="26"/>
        <v>1.0291637672153515</v>
      </c>
      <c r="S115" s="185">
        <f t="shared" si="26"/>
        <v>1.105928692528791</v>
      </c>
      <c r="T115" s="832">
        <f t="shared" si="26"/>
        <v>0.99999999999999978</v>
      </c>
    </row>
    <row r="119" spans="3:20">
      <c r="G119" t="s">
        <v>1126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8BFCD-2FC3-4636-87C0-1E3CA0844EE7}">
  <dimension ref="A1:AI96"/>
  <sheetViews>
    <sheetView zoomScale="51" workbookViewId="0">
      <selection activeCell="D98" sqref="D98"/>
    </sheetView>
  </sheetViews>
  <sheetFormatPr baseColWidth="10" defaultColWidth="11.453125" defaultRowHeight="14.5"/>
  <cols>
    <col min="1" max="1" width="23.54296875" customWidth="1"/>
    <col min="2" max="2" width="15.453125" customWidth="1"/>
    <col min="3" max="3" width="13.1796875" customWidth="1"/>
    <col min="4" max="4" width="38.81640625" customWidth="1"/>
    <col min="5" max="5" width="20" bestFit="1" customWidth="1"/>
    <col min="7" max="7" width="14.26953125" bestFit="1" customWidth="1"/>
    <col min="8" max="9" width="20.453125" bestFit="1" customWidth="1"/>
    <col min="10" max="10" width="20" bestFit="1" customWidth="1"/>
    <col min="11" max="13" width="20.7265625" bestFit="1" customWidth="1"/>
    <col min="14" max="15" width="20.453125" bestFit="1" customWidth="1"/>
    <col min="16" max="16" width="20" bestFit="1" customWidth="1"/>
    <col min="17" max="17" width="20.7265625" bestFit="1" customWidth="1"/>
    <col min="18" max="18" width="20.453125" bestFit="1" customWidth="1"/>
    <col min="19" max="20" width="21.1796875" bestFit="1" customWidth="1"/>
    <col min="21" max="21" width="20.7265625" customWidth="1"/>
  </cols>
  <sheetData>
    <row r="1" spans="1:20" ht="21">
      <c r="A1" s="95" t="s">
        <v>264</v>
      </c>
      <c r="B1" s="95" t="s">
        <v>265</v>
      </c>
      <c r="C1" s="1" t="s">
        <v>546</v>
      </c>
      <c r="G1" s="2"/>
      <c r="H1" s="150">
        <v>2011</v>
      </c>
      <c r="I1" s="151">
        <v>2012</v>
      </c>
      <c r="J1" s="151">
        <v>2013</v>
      </c>
      <c r="K1" s="151">
        <v>2014</v>
      </c>
      <c r="L1" s="151">
        <v>2015</v>
      </c>
      <c r="M1" s="151">
        <v>2016</v>
      </c>
      <c r="N1" s="151">
        <v>2017</v>
      </c>
      <c r="O1" s="151">
        <v>2018</v>
      </c>
      <c r="P1" s="151">
        <v>2019</v>
      </c>
      <c r="Q1" s="151">
        <v>2020</v>
      </c>
      <c r="R1" s="151">
        <v>2021</v>
      </c>
      <c r="S1" s="151">
        <v>2022</v>
      </c>
      <c r="T1" s="152">
        <v>2023</v>
      </c>
    </row>
    <row r="2" spans="1:20">
      <c r="N2" s="6"/>
      <c r="O2" s="6"/>
      <c r="P2" s="6"/>
      <c r="Q2" s="6"/>
      <c r="R2" s="6"/>
      <c r="S2" s="6"/>
      <c r="T2" s="6"/>
    </row>
    <row r="3" spans="1:20">
      <c r="C3" s="7" t="s">
        <v>267</v>
      </c>
    </row>
    <row r="4" spans="1:20">
      <c r="C4" s="96" t="s">
        <v>547</v>
      </c>
    </row>
    <row r="6" spans="1:20">
      <c r="C6" s="7" t="s">
        <v>269</v>
      </c>
    </row>
    <row r="34" spans="1:21">
      <c r="C34" t="s">
        <v>548</v>
      </c>
    </row>
    <row r="35" spans="1:21">
      <c r="C35" t="s">
        <v>549</v>
      </c>
    </row>
    <row r="37" spans="1:21" s="8" customFormat="1" ht="21">
      <c r="C37" s="9" t="s">
        <v>550</v>
      </c>
      <c r="P37" s="10"/>
    </row>
    <row r="39" spans="1:21">
      <c r="C39" s="7" t="s">
        <v>272</v>
      </c>
    </row>
    <row r="40" spans="1:21">
      <c r="C40" t="s">
        <v>551</v>
      </c>
    </row>
    <row r="41" spans="1:21">
      <c r="A41" t="s">
        <v>552</v>
      </c>
      <c r="B41" s="94">
        <v>45645</v>
      </c>
      <c r="C41" t="s">
        <v>553</v>
      </c>
    </row>
    <row r="44" spans="1:21">
      <c r="C44" s="7" t="s">
        <v>277</v>
      </c>
    </row>
    <row r="45" spans="1:21">
      <c r="C45" s="7"/>
    </row>
    <row r="46" spans="1:21" ht="15.65" customHeight="1">
      <c r="C46" t="s">
        <v>558</v>
      </c>
    </row>
    <row r="47" spans="1:21" ht="15.65" customHeight="1"/>
    <row r="48" spans="1:21" ht="15.65" customHeight="1">
      <c r="C48" s="691" t="s">
        <v>559</v>
      </c>
      <c r="H48" s="154">
        <v>2011</v>
      </c>
      <c r="I48" s="155">
        <v>2012</v>
      </c>
      <c r="J48" s="155">
        <v>2013</v>
      </c>
      <c r="K48" s="155">
        <v>2014</v>
      </c>
      <c r="L48" s="155">
        <v>2015</v>
      </c>
      <c r="M48" s="155">
        <v>2016</v>
      </c>
      <c r="N48" s="12">
        <v>2017</v>
      </c>
      <c r="O48" s="12">
        <v>2018</v>
      </c>
      <c r="P48" s="12">
        <v>2019</v>
      </c>
      <c r="Q48" s="12">
        <v>2020</v>
      </c>
      <c r="R48" s="12">
        <v>2021</v>
      </c>
      <c r="S48" s="12">
        <v>2022</v>
      </c>
      <c r="T48" s="12">
        <v>2023</v>
      </c>
      <c r="U48" s="13">
        <v>2024</v>
      </c>
    </row>
    <row r="49" spans="1:21" ht="15.65" customHeight="1">
      <c r="C49" s="69" t="s">
        <v>560</v>
      </c>
      <c r="D49" s="70"/>
      <c r="E49" s="70"/>
      <c r="F49" s="29"/>
      <c r="H49" s="693">
        <v>10024307408.330002</v>
      </c>
      <c r="I49" s="694">
        <v>10621212127.960005</v>
      </c>
      <c r="J49" s="694">
        <v>11687130965.109995</v>
      </c>
      <c r="K49" s="694">
        <v>10084525736.250002</v>
      </c>
      <c r="L49" s="694">
        <v>8375522467.5000019</v>
      </c>
      <c r="M49" s="694">
        <v>8261889357.3699999</v>
      </c>
      <c r="N49" s="694">
        <v>9101232180.6300068</v>
      </c>
      <c r="O49" s="694">
        <v>9999519967.4000034</v>
      </c>
      <c r="P49" s="694">
        <v>11108173212.489998</v>
      </c>
      <c r="Q49" s="694">
        <v>8819061299.680006</v>
      </c>
      <c r="R49" s="694">
        <v>9389336924.2200069</v>
      </c>
      <c r="S49" s="694">
        <v>10250387701.220001</v>
      </c>
      <c r="T49" s="694">
        <v>10944226458.569998</v>
      </c>
      <c r="U49" s="695">
        <v>11702268462.199999</v>
      </c>
    </row>
    <row r="50" spans="1:21" ht="15.65" customHeight="1">
      <c r="C50" s="71" t="s">
        <v>561</v>
      </c>
      <c r="F50" s="31"/>
      <c r="H50" s="693">
        <v>0</v>
      </c>
      <c r="I50" s="694">
        <v>0</v>
      </c>
      <c r="J50" s="694">
        <v>0</v>
      </c>
      <c r="K50" s="694">
        <v>0</v>
      </c>
      <c r="L50" s="694">
        <v>0</v>
      </c>
      <c r="M50" s="694">
        <v>0</v>
      </c>
      <c r="N50" s="694">
        <v>0</v>
      </c>
      <c r="O50" s="694">
        <v>0</v>
      </c>
      <c r="P50" s="694">
        <v>462245358.58999997</v>
      </c>
      <c r="Q50" s="694">
        <v>380758845.09999996</v>
      </c>
      <c r="R50" s="694">
        <v>384709454.51999998</v>
      </c>
      <c r="S50" s="694">
        <v>526731740.16000003</v>
      </c>
      <c r="T50" s="694">
        <v>607104527.25999987</v>
      </c>
      <c r="U50" s="695">
        <v>559665866.75</v>
      </c>
    </row>
    <row r="51" spans="1:21" ht="15.65" customHeight="1">
      <c r="C51" s="71" t="s">
        <v>345</v>
      </c>
      <c r="F51" s="31"/>
      <c r="H51" s="693">
        <v>3307706897.5100007</v>
      </c>
      <c r="I51" s="694">
        <v>3437083335.0400004</v>
      </c>
      <c r="J51" s="694">
        <v>3422605286.4399996</v>
      </c>
      <c r="K51" s="694">
        <v>3206769916.5299997</v>
      </c>
      <c r="L51" s="694">
        <v>3034776298.3600016</v>
      </c>
      <c r="M51" s="694">
        <v>2792536753.1099987</v>
      </c>
      <c r="N51" s="694">
        <v>2673593504.2599993</v>
      </c>
      <c r="O51" s="694">
        <v>2954914319.0099998</v>
      </c>
      <c r="P51" s="694">
        <v>3241621570.5700002</v>
      </c>
      <c r="Q51" s="694">
        <v>2854473510.9400001</v>
      </c>
      <c r="R51" s="694">
        <v>3121497339.0699997</v>
      </c>
      <c r="S51" s="694">
        <v>3265633243.5900006</v>
      </c>
      <c r="T51" s="694">
        <v>3388249663.8699994</v>
      </c>
      <c r="U51" s="695">
        <v>3530151413.8000002</v>
      </c>
    </row>
    <row r="52" spans="1:21" ht="15.65" customHeight="1">
      <c r="C52" s="71" t="s">
        <v>562</v>
      </c>
      <c r="F52" s="31"/>
      <c r="H52" s="693">
        <v>0</v>
      </c>
      <c r="I52" s="694">
        <v>0</v>
      </c>
      <c r="J52" s="694">
        <v>0</v>
      </c>
      <c r="K52" s="694">
        <v>0</v>
      </c>
      <c r="L52" s="694">
        <v>0</v>
      </c>
      <c r="M52" s="694">
        <v>50145310.500000015</v>
      </c>
      <c r="N52" s="694">
        <v>60496374.860000014</v>
      </c>
      <c r="O52" s="694">
        <v>41008954.390000001</v>
      </c>
      <c r="P52" s="694">
        <v>52564077.230000004</v>
      </c>
      <c r="Q52" s="694">
        <v>65732196.700000018</v>
      </c>
      <c r="R52" s="694">
        <v>88602267.800000012</v>
      </c>
      <c r="S52" s="694">
        <v>107451371.63</v>
      </c>
      <c r="T52" s="694">
        <v>124454174.52999999</v>
      </c>
      <c r="U52" s="695">
        <v>129734541.37000002</v>
      </c>
    </row>
    <row r="53" spans="1:21" ht="15.65" customHeight="1">
      <c r="C53" s="71" t="s">
        <v>346</v>
      </c>
      <c r="F53" s="31"/>
      <c r="H53" s="693">
        <v>1157879649.24</v>
      </c>
      <c r="I53" s="694">
        <v>1167065413.9399996</v>
      </c>
      <c r="J53" s="694">
        <v>1302353074.4799998</v>
      </c>
      <c r="K53" s="694">
        <v>1152576556.8399997</v>
      </c>
      <c r="L53" s="694">
        <v>1000792818.7100004</v>
      </c>
      <c r="M53" s="694">
        <v>882851302.50999951</v>
      </c>
      <c r="N53" s="694">
        <v>963875367.99999988</v>
      </c>
      <c r="O53" s="694">
        <v>1214043436.75</v>
      </c>
      <c r="P53" s="694">
        <v>1137121886.4200003</v>
      </c>
      <c r="Q53" s="694">
        <v>936024669.39999974</v>
      </c>
      <c r="R53" s="694">
        <v>1102552772.9800005</v>
      </c>
      <c r="S53" s="694">
        <v>1032718403.35</v>
      </c>
      <c r="T53" s="694">
        <v>1382978968.0100005</v>
      </c>
      <c r="U53" s="695">
        <v>1670146361.8900006</v>
      </c>
    </row>
    <row r="54" spans="1:21" ht="15.65" customHeight="1">
      <c r="C54" s="71" t="s">
        <v>563</v>
      </c>
      <c r="F54" s="31"/>
      <c r="H54" s="693">
        <v>1597406232.3699999</v>
      </c>
      <c r="I54" s="694">
        <v>1585139831.3599999</v>
      </c>
      <c r="J54" s="694">
        <v>1690291005.3800004</v>
      </c>
      <c r="K54" s="694">
        <v>1702430652.0599997</v>
      </c>
      <c r="L54" s="694">
        <v>1566380986.1099999</v>
      </c>
      <c r="M54" s="694">
        <v>1378392258.75</v>
      </c>
      <c r="N54" s="694">
        <v>1358745495.21</v>
      </c>
      <c r="O54" s="694">
        <v>1516780502.0500002</v>
      </c>
      <c r="P54" s="694">
        <v>1816426232.25</v>
      </c>
      <c r="Q54" s="694">
        <v>1805040057.7099996</v>
      </c>
      <c r="R54" s="694">
        <v>2148992294.5699997</v>
      </c>
      <c r="S54" s="694">
        <v>2512020942.2999997</v>
      </c>
      <c r="T54" s="694">
        <v>2576129966.0599999</v>
      </c>
      <c r="U54" s="695">
        <v>2615392841.0599999</v>
      </c>
    </row>
    <row r="55" spans="1:21" ht="15.65" customHeight="1">
      <c r="C55" s="71" t="s">
        <v>564</v>
      </c>
      <c r="F55" s="31"/>
      <c r="H55" s="693">
        <v>800841234.80999994</v>
      </c>
      <c r="I55" s="694">
        <v>926666380.21000004</v>
      </c>
      <c r="J55" s="694">
        <v>880234119.90000021</v>
      </c>
      <c r="K55" s="694">
        <v>864134741.31999993</v>
      </c>
      <c r="L55" s="694">
        <v>888841967.18999994</v>
      </c>
      <c r="M55" s="694">
        <v>775585858.62</v>
      </c>
      <c r="N55" s="694">
        <v>961255467.30000019</v>
      </c>
      <c r="O55" s="694">
        <v>760738682.28999996</v>
      </c>
      <c r="P55" s="694">
        <v>790667945.48000002</v>
      </c>
      <c r="Q55" s="694">
        <v>834457151.74000001</v>
      </c>
      <c r="R55" s="694">
        <v>1075415142.4299998</v>
      </c>
      <c r="S55" s="694">
        <v>1096344540.1099999</v>
      </c>
      <c r="T55" s="694">
        <v>1157652446.8800001</v>
      </c>
      <c r="U55" s="695">
        <v>1050311188.05</v>
      </c>
    </row>
    <row r="56" spans="1:21" ht="15.65" customHeight="1">
      <c r="C56" s="71" t="s">
        <v>565</v>
      </c>
      <c r="F56" s="31"/>
      <c r="H56" s="693">
        <v>0</v>
      </c>
      <c r="I56" s="694">
        <v>0</v>
      </c>
      <c r="J56" s="694">
        <v>0</v>
      </c>
      <c r="K56" s="694">
        <v>0</v>
      </c>
      <c r="L56" s="694">
        <v>0</v>
      </c>
      <c r="M56" s="694">
        <v>56066191.630000003</v>
      </c>
      <c r="N56" s="694">
        <v>42138868.049999997</v>
      </c>
      <c r="O56" s="694">
        <v>84323952.049999997</v>
      </c>
      <c r="P56" s="694">
        <v>106042428.43000001</v>
      </c>
      <c r="Q56" s="694">
        <v>78727000.739999995</v>
      </c>
      <c r="R56" s="694">
        <v>105300911.72999999</v>
      </c>
      <c r="S56" s="694">
        <v>90981878.200000003</v>
      </c>
      <c r="T56" s="694">
        <v>126386118.06999999</v>
      </c>
      <c r="U56" s="695">
        <v>138591919.67999998</v>
      </c>
    </row>
    <row r="57" spans="1:21" ht="15.65" customHeight="1">
      <c r="C57" s="692" t="s">
        <v>566</v>
      </c>
      <c r="D57" s="92"/>
      <c r="E57" s="92"/>
      <c r="F57" s="33"/>
      <c r="H57" s="696">
        <v>16999976418.905397</v>
      </c>
      <c r="I57" s="697">
        <v>17849777567.923641</v>
      </c>
      <c r="J57" s="697">
        <v>19093462246.667515</v>
      </c>
      <c r="K57" s="697">
        <v>17110080379.622826</v>
      </c>
      <c r="L57" s="697">
        <v>14966326936.069145</v>
      </c>
      <c r="M57" s="697">
        <v>14291658476.255346</v>
      </c>
      <c r="N57" s="697">
        <v>15254974885.378384</v>
      </c>
      <c r="O57" s="697">
        <v>16666502616.995218</v>
      </c>
      <c r="P57" s="697">
        <v>18818916280.261436</v>
      </c>
      <c r="Q57" s="697">
        <v>15854788960.544792</v>
      </c>
      <c r="R57" s="697">
        <v>17507341260.64362</v>
      </c>
      <c r="S57" s="697">
        <v>19167516789.628151</v>
      </c>
      <c r="T57" s="697">
        <v>21183749571.179054</v>
      </c>
      <c r="U57" s="698">
        <v>22901856236.189655</v>
      </c>
    </row>
    <row r="59" spans="1:21" ht="15.65" customHeight="1">
      <c r="A59" t="s">
        <v>567</v>
      </c>
      <c r="C59" s="15" t="s">
        <v>568</v>
      </c>
      <c r="H59" s="156">
        <v>2011</v>
      </c>
      <c r="I59" s="157">
        <v>2012</v>
      </c>
      <c r="J59" s="157">
        <v>2013</v>
      </c>
      <c r="K59" s="157">
        <v>2014</v>
      </c>
      <c r="L59" s="157">
        <v>2015</v>
      </c>
      <c r="M59" s="157">
        <v>2016</v>
      </c>
      <c r="N59" s="45">
        <v>2017</v>
      </c>
      <c r="O59" s="45">
        <v>2018</v>
      </c>
      <c r="P59" s="45">
        <v>2019</v>
      </c>
      <c r="Q59" s="45">
        <v>2020</v>
      </c>
      <c r="R59" s="45">
        <v>2021</v>
      </c>
      <c r="S59" s="45">
        <v>2022</v>
      </c>
      <c r="T59" s="45">
        <v>2023</v>
      </c>
      <c r="U59" s="46">
        <v>2024</v>
      </c>
    </row>
    <row r="60" spans="1:21" ht="15.65" customHeight="1">
      <c r="A60" t="s">
        <v>569</v>
      </c>
      <c r="C60" s="69" t="s">
        <v>570</v>
      </c>
      <c r="D60" s="70"/>
      <c r="E60" s="70"/>
      <c r="F60" s="29"/>
      <c r="H60" s="353">
        <f>H57</f>
        <v>16999976418.905397</v>
      </c>
      <c r="I60" s="1082">
        <f t="shared" ref="I60:U60" si="0">I57</f>
        <v>17849777567.923641</v>
      </c>
      <c r="J60" s="1082">
        <f t="shared" si="0"/>
        <v>19093462246.667515</v>
      </c>
      <c r="K60" s="1082">
        <f t="shared" si="0"/>
        <v>17110080379.622826</v>
      </c>
      <c r="L60" s="1082">
        <f t="shared" si="0"/>
        <v>14966326936.069145</v>
      </c>
      <c r="M60" s="1082">
        <f t="shared" si="0"/>
        <v>14291658476.255346</v>
      </c>
      <c r="N60" s="1082">
        <f t="shared" si="0"/>
        <v>15254974885.378384</v>
      </c>
      <c r="O60" s="1082">
        <f t="shared" si="0"/>
        <v>16666502616.995218</v>
      </c>
      <c r="P60" s="1082">
        <f t="shared" si="0"/>
        <v>18818916280.261436</v>
      </c>
      <c r="Q60" s="1082">
        <f t="shared" si="0"/>
        <v>15854788960.544792</v>
      </c>
      <c r="R60" s="1082">
        <f t="shared" si="0"/>
        <v>17507341260.64362</v>
      </c>
      <c r="S60" s="1082">
        <f t="shared" si="0"/>
        <v>19167516789.628151</v>
      </c>
      <c r="T60" s="1082">
        <f t="shared" si="0"/>
        <v>21183749571.179054</v>
      </c>
      <c r="U60" s="1083">
        <f t="shared" si="0"/>
        <v>22901856236.189655</v>
      </c>
    </row>
    <row r="61" spans="1:21" ht="15.65" customHeight="1">
      <c r="C61" s="301" t="s">
        <v>571</v>
      </c>
      <c r="D61" s="92"/>
      <c r="E61" s="92"/>
      <c r="F61" s="33"/>
      <c r="H61" s="354">
        <f>H60*0.38</f>
        <v>6459991039.1840515</v>
      </c>
      <c r="I61" s="355">
        <f t="shared" ref="I61:U61" si="1">I60*0.38</f>
        <v>6782915475.8109837</v>
      </c>
      <c r="J61" s="355">
        <f t="shared" si="1"/>
        <v>7255515653.7336559</v>
      </c>
      <c r="K61" s="355">
        <f t="shared" si="1"/>
        <v>6501830544.2566738</v>
      </c>
      <c r="L61" s="355">
        <f t="shared" si="1"/>
        <v>5687204235.706275</v>
      </c>
      <c r="M61" s="355">
        <f t="shared" si="1"/>
        <v>5430830220.9770317</v>
      </c>
      <c r="N61" s="355">
        <f t="shared" si="1"/>
        <v>5796890456.4437857</v>
      </c>
      <c r="O61" s="355">
        <f t="shared" si="1"/>
        <v>6333270994.4581833</v>
      </c>
      <c r="P61" s="355">
        <f t="shared" si="1"/>
        <v>7151188186.4993458</v>
      </c>
      <c r="Q61" s="355">
        <f t="shared" si="1"/>
        <v>6024819805.007021</v>
      </c>
      <c r="R61" s="355">
        <f t="shared" si="1"/>
        <v>6652789679.0445757</v>
      </c>
      <c r="S61" s="355">
        <f t="shared" si="1"/>
        <v>7283656380.0586977</v>
      </c>
      <c r="T61" s="355">
        <f t="shared" si="1"/>
        <v>8049824837.0480404</v>
      </c>
      <c r="U61" s="356">
        <f t="shared" si="1"/>
        <v>8702705369.7520695</v>
      </c>
    </row>
    <row r="62" spans="1:21" ht="15.65" customHeight="1">
      <c r="C62" s="15"/>
    </row>
    <row r="63" spans="1:21" ht="15.65" customHeight="1">
      <c r="C63" s="15" t="s">
        <v>556</v>
      </c>
      <c r="H63" s="156">
        <v>2011</v>
      </c>
      <c r="I63" s="157">
        <v>2012</v>
      </c>
      <c r="J63" s="157">
        <v>2013</v>
      </c>
      <c r="K63" s="157">
        <v>2014</v>
      </c>
      <c r="L63" s="157">
        <v>2015</v>
      </c>
      <c r="M63" s="157">
        <v>2016</v>
      </c>
      <c r="N63" s="45">
        <v>2017</v>
      </c>
      <c r="O63" s="45">
        <v>2018</v>
      </c>
      <c r="P63" s="45">
        <v>2019</v>
      </c>
      <c r="Q63" s="45">
        <v>2020</v>
      </c>
      <c r="R63" s="45">
        <v>2021</v>
      </c>
      <c r="S63" s="45">
        <v>2022</v>
      </c>
      <c r="T63" s="45">
        <v>2023</v>
      </c>
      <c r="U63" s="46">
        <v>2024</v>
      </c>
    </row>
    <row r="64" spans="1:21" ht="15.65" customHeight="1">
      <c r="A64" s="818" t="s">
        <v>572</v>
      </c>
      <c r="C64" s="299" t="s">
        <v>557</v>
      </c>
      <c r="D64" s="104"/>
      <c r="E64" s="104" t="s">
        <v>232</v>
      </c>
      <c r="F64" s="106"/>
      <c r="H64" s="455">
        <f>H61*36%</f>
        <v>2325596774.1062584</v>
      </c>
      <c r="I64" s="456">
        <f t="shared" ref="I64:U64" si="2">I61*36%</f>
        <v>2441849571.291954</v>
      </c>
      <c r="J64" s="456">
        <f>J61*36%</f>
        <v>2611985635.3441162</v>
      </c>
      <c r="K64" s="456">
        <f t="shared" si="2"/>
        <v>2340658995.9324026</v>
      </c>
      <c r="L64" s="456">
        <f t="shared" si="2"/>
        <v>2047393524.854259</v>
      </c>
      <c r="M64" s="456">
        <f t="shared" si="2"/>
        <v>1955098879.5517313</v>
      </c>
      <c r="N64" s="456">
        <f t="shared" si="2"/>
        <v>2086880564.3197627</v>
      </c>
      <c r="O64" s="456">
        <f t="shared" si="2"/>
        <v>2279977558.0049458</v>
      </c>
      <c r="P64" s="456">
        <f t="shared" si="2"/>
        <v>2574427747.1397643</v>
      </c>
      <c r="Q64" s="456">
        <f t="shared" si="2"/>
        <v>2168935129.8025274</v>
      </c>
      <c r="R64" s="456">
        <f t="shared" si="2"/>
        <v>2395004284.4560471</v>
      </c>
      <c r="S64" s="456">
        <f t="shared" si="2"/>
        <v>2622116296.8211312</v>
      </c>
      <c r="T64" s="456">
        <f t="shared" si="2"/>
        <v>2897936941.3372946</v>
      </c>
      <c r="U64" s="457">
        <f t="shared" si="2"/>
        <v>3132973933.110745</v>
      </c>
    </row>
    <row r="65" spans="1:35" ht="15.65" customHeight="1">
      <c r="C65" s="15"/>
      <c r="S65" s="315" t="e">
        <f>(#REF!-#REF!)/#REF!</f>
        <v>#REF!</v>
      </c>
      <c r="T65" s="315" t="e">
        <f>#REF!/T60</f>
        <v>#REF!</v>
      </c>
    </row>
    <row r="66" spans="1:35" ht="15.65" customHeight="1">
      <c r="C66" t="s">
        <v>1160</v>
      </c>
      <c r="S66" s="315"/>
      <c r="T66" s="315"/>
    </row>
    <row r="67" spans="1:35" ht="15.65" customHeight="1">
      <c r="C67" s="15"/>
      <c r="S67" s="315"/>
      <c r="T67" s="315"/>
    </row>
    <row r="68" spans="1:35" s="8" customFormat="1" ht="22.5" customHeight="1">
      <c r="C68" s="9" t="s">
        <v>319</v>
      </c>
      <c r="P68" s="10"/>
    </row>
    <row r="69" spans="1:35" ht="15.65" customHeight="1"/>
    <row r="70" spans="1:35" ht="15.65" customHeight="1">
      <c r="C70" s="200" t="s">
        <v>1214</v>
      </c>
    </row>
    <row r="71" spans="1:35" ht="15.65" customHeight="1"/>
    <row r="72" spans="1:35" ht="15.65" customHeight="1">
      <c r="C72" s="35" t="s">
        <v>573</v>
      </c>
      <c r="D72" s="2"/>
      <c r="E72" s="2"/>
      <c r="F72" s="2"/>
    </row>
    <row r="73" spans="1:35" ht="15.65" customHeight="1">
      <c r="A73" t="s">
        <v>574</v>
      </c>
      <c r="C73" s="74" t="s">
        <v>575</v>
      </c>
      <c r="D73" s="75" t="s">
        <v>576</v>
      </c>
      <c r="E73" s="75"/>
      <c r="F73" s="1009"/>
      <c r="H73" s="1063">
        <v>2025</v>
      </c>
      <c r="I73" s="1064">
        <v>2026</v>
      </c>
      <c r="J73" s="1064">
        <v>2027</v>
      </c>
      <c r="K73" s="1064">
        <v>2028</v>
      </c>
      <c r="L73" s="1064">
        <v>2029</v>
      </c>
      <c r="M73" s="1064">
        <v>2030</v>
      </c>
      <c r="N73" s="1064">
        <v>2031</v>
      </c>
      <c r="O73" s="1064">
        <v>2032</v>
      </c>
      <c r="P73" s="1064">
        <v>2033</v>
      </c>
      <c r="Q73" s="1064">
        <v>2034</v>
      </c>
      <c r="R73" s="1065">
        <v>2035</v>
      </c>
      <c r="S73" s="153"/>
      <c r="T73" s="153"/>
      <c r="U73" s="153"/>
      <c r="V73" s="153"/>
      <c r="X73" s="153"/>
      <c r="Y73" s="153"/>
      <c r="Z73" s="153"/>
      <c r="AA73" s="153"/>
      <c r="AB73" s="153"/>
      <c r="AC73" s="153"/>
      <c r="AD73" s="153"/>
      <c r="AE73" s="153"/>
      <c r="AF73" s="153"/>
      <c r="AG73" s="153"/>
      <c r="AH73" s="153"/>
      <c r="AI73" s="153"/>
    </row>
    <row r="74" spans="1:35" ht="15.65" customHeight="1">
      <c r="A74" t="s">
        <v>1256</v>
      </c>
      <c r="C74" s="18" t="s">
        <v>554</v>
      </c>
      <c r="D74" s="1010"/>
      <c r="E74" s="1010"/>
      <c r="F74" s="1011"/>
      <c r="H74" s="1074">
        <v>1048.4914476510344</v>
      </c>
      <c r="I74" s="1075">
        <v>1081.0212673509882</v>
      </c>
      <c r="J74" s="1075">
        <v>1117.7782062599556</v>
      </c>
      <c r="K74" s="1075">
        <v>1157.3110604916201</v>
      </c>
      <c r="L74" s="1075">
        <v>1196.4857443831424</v>
      </c>
      <c r="M74" s="1075">
        <v>1289.077533265124</v>
      </c>
      <c r="N74" s="1075">
        <v>1122.4495157290521</v>
      </c>
      <c r="O74" s="1075">
        <v>1158.4194246509708</v>
      </c>
      <c r="P74" s="1075">
        <v>1157.3110604916201</v>
      </c>
      <c r="Q74" s="1075">
        <v>1236.7160215484007</v>
      </c>
      <c r="R74" s="1076">
        <v>1289.077533265124</v>
      </c>
      <c r="S74" s="1013"/>
      <c r="T74" s="1013"/>
      <c r="U74" s="1013"/>
      <c r="V74" s="1013"/>
      <c r="X74" s="1013"/>
      <c r="Y74" s="1013"/>
      <c r="Z74" s="1013"/>
      <c r="AA74" s="1013"/>
      <c r="AB74" s="1013"/>
      <c r="AC74" s="1013"/>
      <c r="AD74" s="1013"/>
      <c r="AE74" s="1013"/>
      <c r="AF74" s="1013"/>
      <c r="AG74" s="1013"/>
      <c r="AH74" s="1013"/>
      <c r="AI74" s="1013"/>
    </row>
    <row r="75" spans="1:35" ht="15.65" customHeight="1">
      <c r="C75" s="105" t="s">
        <v>555</v>
      </c>
      <c r="D75" s="42"/>
      <c r="E75" s="42"/>
      <c r="F75" s="43"/>
      <c r="H75" s="1077">
        <v>2600.9787843017075</v>
      </c>
      <c r="I75" s="1013">
        <v>2681.1164860220679</v>
      </c>
      <c r="J75" s="1013">
        <v>2773.2814121653037</v>
      </c>
      <c r="K75" s="1013">
        <v>2866.7927240472036</v>
      </c>
      <c r="L75" s="1013">
        <v>2964.9179709714131</v>
      </c>
      <c r="M75" s="1013">
        <v>3066.1870308212224</v>
      </c>
      <c r="N75" s="1013">
        <v>2668.3554379088578</v>
      </c>
      <c r="O75" s="1013">
        <v>2757.3645460001985</v>
      </c>
      <c r="P75" s="1013">
        <v>2866.7927240472036</v>
      </c>
      <c r="Q75" s="1013">
        <v>2942.0496572845268</v>
      </c>
      <c r="R75" s="1078">
        <v>3066.1870308212224</v>
      </c>
      <c r="S75" s="1013"/>
      <c r="T75" s="1013"/>
      <c r="U75" s="1013"/>
      <c r="V75" s="1013"/>
      <c r="X75" s="1013"/>
      <c r="Y75" s="1013"/>
      <c r="Z75" s="1013"/>
      <c r="AA75" s="1013"/>
      <c r="AB75" s="1013"/>
      <c r="AC75" s="1013"/>
      <c r="AD75" s="1013"/>
      <c r="AE75" s="1013"/>
      <c r="AF75" s="1013"/>
      <c r="AG75" s="1013"/>
      <c r="AH75" s="1013"/>
      <c r="AI75" s="1013"/>
    </row>
    <row r="76" spans="1:35" ht="15.65" customHeight="1">
      <c r="C76" s="105" t="s">
        <v>245</v>
      </c>
      <c r="D76" s="42"/>
      <c r="E76" s="42"/>
      <c r="F76" s="43"/>
      <c r="H76" s="1079">
        <v>3649.4702319527419</v>
      </c>
      <c r="I76" s="1080">
        <v>3762.1377533730561</v>
      </c>
      <c r="J76" s="1080">
        <v>3891.059618425259</v>
      </c>
      <c r="K76" s="1080">
        <v>4024.1037845388237</v>
      </c>
      <c r="L76" s="1080">
        <v>4161.403715354556</v>
      </c>
      <c r="M76" s="1080">
        <v>4355.2645640863466</v>
      </c>
      <c r="N76" s="1080">
        <v>4355.2645640863466</v>
      </c>
      <c r="O76" s="1080">
        <v>3915.7839706511695</v>
      </c>
      <c r="P76" s="1080">
        <v>4024.1037845388237</v>
      </c>
      <c r="Q76" s="1080">
        <v>4178.7656788329277</v>
      </c>
      <c r="R76" s="1081">
        <v>4355.2645640863466</v>
      </c>
      <c r="S76" s="1013"/>
      <c r="T76" s="1013"/>
      <c r="U76" s="1013"/>
      <c r="V76" s="1013"/>
      <c r="X76" s="1013"/>
      <c r="Y76" s="1013"/>
      <c r="Z76" s="1013"/>
      <c r="AA76" s="1013"/>
      <c r="AB76" s="1013"/>
      <c r="AC76" s="1013"/>
      <c r="AD76" s="1013"/>
      <c r="AE76" s="1013"/>
      <c r="AF76" s="1013"/>
      <c r="AG76" s="1013"/>
      <c r="AH76" s="1013"/>
      <c r="AI76" s="1013"/>
    </row>
    <row r="77" spans="1:35" ht="15.65" customHeight="1"/>
    <row r="78" spans="1:35" ht="15.65" customHeight="1">
      <c r="C78" s="1502" t="s">
        <v>1258</v>
      </c>
    </row>
    <row r="79" spans="1:35" ht="15.65" customHeight="1">
      <c r="C79" s="1503" t="s">
        <v>1259</v>
      </c>
    </row>
    <row r="80" spans="1:35" ht="15.65" customHeight="1">
      <c r="C80" s="1502" t="s">
        <v>1260</v>
      </c>
    </row>
    <row r="81" spans="1:33" ht="15.65" customHeight="1">
      <c r="C81" s="1503" t="s">
        <v>1261</v>
      </c>
    </row>
    <row r="82" spans="1:33" ht="15.65" customHeight="1"/>
    <row r="83" spans="1:33" ht="15.65" customHeight="1">
      <c r="C83" s="15" t="s">
        <v>1262</v>
      </c>
    </row>
    <row r="84" spans="1:33" ht="15.65" customHeight="1">
      <c r="C84" s="1008"/>
    </row>
    <row r="85" spans="1:33" ht="15.65" customHeight="1">
      <c r="C85" t="s">
        <v>852</v>
      </c>
    </row>
    <row r="86" spans="1:33" ht="15.65" customHeight="1"/>
    <row r="87" spans="1:33" ht="15.65" customHeight="1"/>
    <row r="88" spans="1:33" ht="15.65" customHeight="1">
      <c r="C88" s="74" t="s">
        <v>853</v>
      </c>
      <c r="D88" s="75"/>
      <c r="E88" s="75"/>
      <c r="F88" s="1009"/>
      <c r="H88" s="1014">
        <v>2025</v>
      </c>
      <c r="I88" s="1015">
        <v>2026</v>
      </c>
      <c r="J88" s="1015">
        <v>2027</v>
      </c>
      <c r="K88" s="1015">
        <v>2028</v>
      </c>
      <c r="L88" s="1015">
        <v>2029</v>
      </c>
      <c r="M88" s="1015">
        <v>2030</v>
      </c>
      <c r="N88" s="1015">
        <v>2031</v>
      </c>
      <c r="O88" s="1015">
        <v>2032</v>
      </c>
      <c r="P88" s="1015">
        <v>2033</v>
      </c>
      <c r="Q88" s="1015">
        <v>2034</v>
      </c>
      <c r="R88" s="1015">
        <v>2035</v>
      </c>
      <c r="S88" s="1015">
        <v>2036</v>
      </c>
      <c r="T88" s="1015">
        <v>2037</v>
      </c>
      <c r="U88" s="1015">
        <v>2038</v>
      </c>
      <c r="V88" s="1015">
        <v>2039</v>
      </c>
      <c r="W88" s="1015">
        <v>2040</v>
      </c>
      <c r="X88" s="1015">
        <v>2041</v>
      </c>
      <c r="Y88" s="1015">
        <v>2042</v>
      </c>
      <c r="Z88" s="1015">
        <v>2043</v>
      </c>
      <c r="AA88" s="1015">
        <v>2044</v>
      </c>
      <c r="AB88" s="1015">
        <v>2045</v>
      </c>
      <c r="AC88" s="1015">
        <v>2046</v>
      </c>
      <c r="AD88" s="1015">
        <v>2047</v>
      </c>
      <c r="AE88" s="1015">
        <v>2048</v>
      </c>
      <c r="AF88" s="1015">
        <v>2049</v>
      </c>
      <c r="AG88" s="1016">
        <v>2050</v>
      </c>
    </row>
    <row r="89" spans="1:33" ht="15.65" customHeight="1">
      <c r="H89" s="65">
        <v>31.4</v>
      </c>
      <c r="I89" s="1057">
        <f>H89-($H$89-$N$89)/($N$88-$H$88)</f>
        <v>29.166666666666664</v>
      </c>
      <c r="J89" s="1057">
        <f>I89-($H$89-$N$89)/($N$88-$H$88)</f>
        <v>26.93333333333333</v>
      </c>
      <c r="K89" s="1057">
        <f>J89-($H$89-$N$89)/($N$88-$H$88)</f>
        <v>24.699999999999996</v>
      </c>
      <c r="L89" s="1057">
        <f>K89-($H$89-$N$89)/($N$88-$H$88)</f>
        <v>22.466666666666661</v>
      </c>
      <c r="M89" s="1057">
        <f>L89-($H$89-$N$89)/($N$88-$H$88)</f>
        <v>20.233333333333327</v>
      </c>
      <c r="N89" s="63">
        <v>18</v>
      </c>
      <c r="O89" s="1058">
        <f>N89-($N$89-$AG$89)/($AG$88-$N$88)</f>
        <v>17.05263157894737</v>
      </c>
      <c r="P89" s="1058">
        <f t="shared" ref="P89:AF89" si="3">O89-($N$89-$AG$89)/($AG$88-$N$88)</f>
        <v>16.10526315789474</v>
      </c>
      <c r="Q89" s="1058">
        <f t="shared" si="3"/>
        <v>15.157894736842108</v>
      </c>
      <c r="R89" s="1058">
        <f t="shared" si="3"/>
        <v>14.210526315789476</v>
      </c>
      <c r="S89" s="1058">
        <f t="shared" si="3"/>
        <v>13.263157894736844</v>
      </c>
      <c r="T89" s="1058">
        <f t="shared" si="3"/>
        <v>12.315789473684212</v>
      </c>
      <c r="U89" s="1058">
        <f t="shared" si="3"/>
        <v>11.368421052631581</v>
      </c>
      <c r="V89" s="1058">
        <f t="shared" si="3"/>
        <v>10.421052631578949</v>
      </c>
      <c r="W89" s="1058">
        <f t="shared" si="3"/>
        <v>9.4736842105263168</v>
      </c>
      <c r="X89" s="1058">
        <f t="shared" si="3"/>
        <v>8.526315789473685</v>
      </c>
      <c r="Y89" s="1058">
        <f t="shared" si="3"/>
        <v>7.5789473684210531</v>
      </c>
      <c r="Z89" s="1058">
        <f t="shared" si="3"/>
        <v>6.6315789473684212</v>
      </c>
      <c r="AA89" s="1058">
        <f t="shared" si="3"/>
        <v>5.6842105263157894</v>
      </c>
      <c r="AB89" s="1058">
        <f t="shared" si="3"/>
        <v>4.7368421052631575</v>
      </c>
      <c r="AC89" s="1058">
        <f t="shared" si="3"/>
        <v>3.7894736842105261</v>
      </c>
      <c r="AD89" s="1058">
        <f t="shared" si="3"/>
        <v>2.8421052631578947</v>
      </c>
      <c r="AE89" s="1058">
        <f t="shared" si="3"/>
        <v>1.8947368421052633</v>
      </c>
      <c r="AF89" s="1058">
        <f t="shared" si="3"/>
        <v>0.94736842105263175</v>
      </c>
      <c r="AG89" s="64">
        <v>0</v>
      </c>
    </row>
    <row r="90" spans="1:33" ht="15.65" customHeight="1">
      <c r="C90" t="s">
        <v>854</v>
      </c>
      <c r="I90" s="1059"/>
      <c r="J90" s="1059"/>
      <c r="K90" s="1059"/>
      <c r="L90" s="1059"/>
      <c r="M90" s="1059"/>
      <c r="O90" s="834"/>
      <c r="P90" s="834"/>
      <c r="Q90" s="834"/>
      <c r="R90" s="834"/>
      <c r="S90" s="834"/>
      <c r="T90" s="834"/>
      <c r="U90" s="834"/>
      <c r="V90" s="834"/>
      <c r="W90" s="834"/>
      <c r="X90" s="834"/>
      <c r="Y90" s="834"/>
      <c r="Z90" s="834"/>
      <c r="AA90" s="834"/>
      <c r="AB90" s="834"/>
      <c r="AC90" s="834"/>
      <c r="AD90" s="834"/>
      <c r="AE90" s="834"/>
      <c r="AF90" s="834"/>
    </row>
    <row r="91" spans="1:33" ht="15.65" customHeight="1">
      <c r="H91" s="1060">
        <v>2025</v>
      </c>
      <c r="I91" s="1061">
        <v>2026</v>
      </c>
      <c r="J91" s="1061">
        <v>2027</v>
      </c>
      <c r="K91" s="1061">
        <v>2028</v>
      </c>
      <c r="L91" s="1061">
        <v>2029</v>
      </c>
      <c r="M91" s="1061">
        <v>2030</v>
      </c>
      <c r="N91" s="1061">
        <v>2031</v>
      </c>
      <c r="O91" s="1061">
        <v>2032</v>
      </c>
      <c r="P91" s="1061">
        <v>2033</v>
      </c>
      <c r="Q91" s="1061">
        <v>2034</v>
      </c>
      <c r="R91" s="1062">
        <v>2035</v>
      </c>
    </row>
    <row r="92" spans="1:33" ht="15.65" customHeight="1">
      <c r="C92" s="74" t="s">
        <v>855</v>
      </c>
      <c r="D92" s="63"/>
      <c r="E92" s="63"/>
      <c r="F92" s="64"/>
      <c r="H92" s="65">
        <f t="shared" ref="H92:R92" si="4">H76*H89/100</f>
        <v>1145.933652833161</v>
      </c>
      <c r="I92" s="63">
        <f t="shared" si="4"/>
        <v>1097.2901780671411</v>
      </c>
      <c r="J92" s="63">
        <f t="shared" si="4"/>
        <v>1047.9920572292028</v>
      </c>
      <c r="K92" s="63">
        <f t="shared" si="4"/>
        <v>993.95363478108925</v>
      </c>
      <c r="L92" s="63">
        <f t="shared" si="4"/>
        <v>934.92870138298997</v>
      </c>
      <c r="M92" s="63">
        <f t="shared" si="4"/>
        <v>881.21519680013716</v>
      </c>
      <c r="N92" s="63">
        <f t="shared" si="4"/>
        <v>783.94762153554245</v>
      </c>
      <c r="O92" s="63">
        <f t="shared" si="4"/>
        <v>667.7442139426206</v>
      </c>
      <c r="P92" s="63">
        <f t="shared" si="4"/>
        <v>648.09250424677907</v>
      </c>
      <c r="Q92" s="63">
        <f t="shared" si="4"/>
        <v>633.41290289678068</v>
      </c>
      <c r="R92" s="64">
        <f t="shared" si="4"/>
        <v>618.90601700174409</v>
      </c>
      <c r="S92">
        <f>T76*S89</f>
        <v>0</v>
      </c>
      <c r="T92">
        <f t="shared" ref="T92:AG92" si="5">T76*T89</f>
        <v>0</v>
      </c>
      <c r="U92">
        <f t="shared" si="5"/>
        <v>0</v>
      </c>
      <c r="V92">
        <f t="shared" si="5"/>
        <v>0</v>
      </c>
      <c r="W92">
        <f t="shared" si="5"/>
        <v>0</v>
      </c>
      <c r="X92">
        <f t="shared" si="5"/>
        <v>0</v>
      </c>
      <c r="Y92">
        <f t="shared" si="5"/>
        <v>0</v>
      </c>
      <c r="Z92">
        <f t="shared" si="5"/>
        <v>0</v>
      </c>
      <c r="AA92">
        <f t="shared" si="5"/>
        <v>0</v>
      </c>
      <c r="AB92">
        <f t="shared" si="5"/>
        <v>0</v>
      </c>
      <c r="AC92">
        <f t="shared" si="5"/>
        <v>0</v>
      </c>
      <c r="AD92">
        <f t="shared" si="5"/>
        <v>0</v>
      </c>
      <c r="AE92">
        <f t="shared" si="5"/>
        <v>0</v>
      </c>
      <c r="AF92">
        <f t="shared" si="5"/>
        <v>0</v>
      </c>
      <c r="AG92">
        <f t="shared" si="5"/>
        <v>0</v>
      </c>
    </row>
    <row r="93" spans="1:33" ht="15.65" customHeight="1">
      <c r="H93" s="1060">
        <v>2025</v>
      </c>
      <c r="I93" s="1061">
        <v>2026</v>
      </c>
      <c r="J93" s="1061">
        <v>2027</v>
      </c>
      <c r="K93" s="1061">
        <v>2028</v>
      </c>
      <c r="L93" s="1061">
        <v>2029</v>
      </c>
      <c r="M93" s="1061">
        <v>2030</v>
      </c>
      <c r="N93" s="1061">
        <v>2031</v>
      </c>
      <c r="O93" s="1061">
        <v>2032</v>
      </c>
      <c r="P93" s="1061">
        <v>2033</v>
      </c>
      <c r="Q93" s="1061">
        <v>2034</v>
      </c>
      <c r="R93" s="1062">
        <v>2035</v>
      </c>
    </row>
    <row r="94" spans="1:33" ht="15.65" customHeight="1"/>
    <row r="95" spans="1:33" ht="15.65" customHeight="1">
      <c r="A95" t="s">
        <v>1263</v>
      </c>
      <c r="C95" t="s">
        <v>1188</v>
      </c>
    </row>
    <row r="96" spans="1:33" ht="15.65" customHeight="1"/>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6d25fa36-6e92-4a8c-bcd7-8d2e2e5dc1cc">
      <Terms xmlns="http://schemas.microsoft.com/office/infopath/2007/PartnerControls"/>
    </lcf76f155ced4ddcb4097134ff3c332f>
    <_ip_UnifiedCompliancePolicyProperties xmlns="http://schemas.microsoft.com/sharepoint/v3" xsi:nil="true"/>
    <TaxCatchAll xmlns="2a193445-8f29-4d28-b3a3-ce6182a987a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565D2027CB5C43B896265DB26BF053" ma:contentTypeVersion="21" ma:contentTypeDescription="Crée un document." ma:contentTypeScope="" ma:versionID="4d14c4c537252da3f211a5b899c0b869">
  <xsd:schema xmlns:xsd="http://www.w3.org/2001/XMLSchema" xmlns:xs="http://www.w3.org/2001/XMLSchema" xmlns:p="http://schemas.microsoft.com/office/2006/metadata/properties" xmlns:ns1="http://schemas.microsoft.com/sharepoint/v3" xmlns:ns2="6d25fa36-6e92-4a8c-bcd7-8d2e2e5dc1cc" xmlns:ns3="2a193445-8f29-4d28-b3a3-ce6182a987ad" targetNamespace="http://schemas.microsoft.com/office/2006/metadata/properties" ma:root="true" ma:fieldsID="a83877fc4df9c553b5f2740b21a7bb4e" ns1:_="" ns2:_="" ns3:_="">
    <xsd:import namespace="http://schemas.microsoft.com/sharepoint/v3"/>
    <xsd:import namespace="6d25fa36-6e92-4a8c-bcd7-8d2e2e5dc1cc"/>
    <xsd:import namespace="2a193445-8f29-4d28-b3a3-ce6182a987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riétés de la stratégie de conformité unifiée" ma:hidden="true" ma:internalName="_ip_UnifiedCompliancePolicyProperties">
      <xsd:simpleType>
        <xsd:restriction base="dms:Note"/>
      </xsd:simpleType>
    </xsd:element>
    <xsd:element name="_ip_UnifiedCompliancePolicyUIAction" ma:index="21"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25fa36-6e92-4a8c-bcd7-8d2e2e5dc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fdb6b646-3ed7-48ad-b39c-bbf27f50ba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193445-8f29-4d28-b3a3-ce6182a987ad"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4fd0a5eb-5bd5-4419-8c56-9da7f185a722}" ma:internalName="TaxCatchAll" ma:showField="CatchAllData" ma:web="2a193445-8f29-4d28-b3a3-ce6182a98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  s t a n d a l o n e = " n o " ? > < D a t a M a s h u p   x m l n s = " h t t p : / / s c h e m a s . m i c r o s o f t . c o m / D a t a M a s h u p " > A A A A A D o J 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N 7 + m p q 0 A A A D 3 A A A A E g A A A E N v b m Z p Z y 9 Q Y W N r Y W d l L n h t b H q / e 7 + N f U V u j k J Z a l F x Z n 6 e r Z K h n o G S Q n F J Y l 5 K Y k 5 + X q q t U l 6 + k r 0 d L 5 d N Q G J y d m J 6 q g J Q d V 6 x V U V x i q 1 S R k l J g Z W + f n l 5 u V 6 5 s V 5 + U b q + k Y G B o X 6 E r 0 9 w c k Z q b q I S X H E m Y c W 6 m X k g a 5 N T l e x s w i C u s T P S M z S 2 0 D O 0 M N A z s N G H C d r 4 Z u Y h F B g B H Q y S R R K 0 c S 7 N K S k t S r V L K 9 J 1 C 7 L R h 3 F t 9 K F + s A M A A A D / / w M A U E s D B B Q A A g A I A A A A I Q A t T Z G N S Q Q A A C w Z A A A T A A A A R m 9 y b X V s Y X M v U 2 V j d G l v b j E u b e y Y y 2 4 b N x S G 9 w b y D s R 4 E Q m Q l b n p M i 2 0 U O 0 U 8 c K N U L l F A d s F a A 2 l E O F c Q H J c B Y K B w L s + Q h 9 B R V d 9 h M 6 b + E l 6 5 m 5 V H L v q F I 6 K x h t Z H J 5 / D s n v X E R B Z p I G P p p m n 8 a X B w f i H e b E R Y f a O b 5 m R H e G q D X B C 4 I M 2 2 p r a I Q Y k S 8 O E P x N g 4 j P C I x M 3 H k 3 n S x a X 1 N G u s e B L 4 k v R U s 7 / u L y O 0 G 4 u B w v C X v 9 7 V f j y 5 P g J 5 8 F 2 B W X p m 5 a e t / o H X m Y M g Z v O M K E B 2 H A Z Y Q p J 0 d z j v 0 Z p q I b u n O t 3 U E X p 1 7 I i A f C O H F 1 p B l d S 7 t q d z J n S m d H u V + r i 1 N 3 V K 5 B u 7 q 9 O M E S X + X T D 7 X X / p G M f 5 V E o J A H X i S S p a W z u x P 4 H k j y h m A X X G 8 V E u B B / m T M 2 H S G G e Z i J H l E S h 9 g y z 6 E B H m B S + c 0 X l e K 5 7 A U M Q + 4 d x y w y P O T W a K l c K G z W m l a B 8 l E R Z K l v O 2 g l Q Z u w w y X I I b R y X S C i H / Y Y v P 2 D V 1 E J O J b 0 4 8 D L 8 Q L n 5 J 0 l h u v W b x e w M p h S 7 e l 4 / W c z q h E 7 k u y D F l A s 6 0 t L G e w x H i N T N 1 w U O v s / u 6 3 d q H g R 9 4 1 4 e X 7 i C 8 q Q 7 I E y 0 j G a w K u p s b p c K 3 A C d C C 4 p / h 1 Y q H k / E P h Q o 8 P f V l 3 + 4 m 2 5 c + P M f R M t k Y T o A M K g Q w l H l Q G k w I k A D A L E h l 9 d D h V 6 D / 0 A S 1 4 B / Y 1 U C o P P 0 + Y A J h 3 4 8 I f F Y v q f b 0 t v 3 i g P p q G B S R 5 Z S R Z e 9 / Z D n q y H K 2 I 2 u X I C h U E v K z c U N B d D J u 1 o x b N e N 2 z X i v Z r x f M z 6 o G R / W j D s 1 4 4 b e A J W h X a B i O H u P C j i r Q m V o N 0 7 C Q / u Z k v A 4 X m e 7 I L Z O E 2 Q g Z 9 Z k J M g 3 k k B K S n N K i N O U x I V i H u Y y T + l h Y p J l X H h L J u 6 C p 3 D E S A Y S s + I Z u / / 4 C y 7 8 U u S 2 H Y n q F U S Z + v 4 T 1 V M T 1 W t O V O + 5 i U L b C a 5 6 t p 3 k v g m 8 a 1 7 y U S K V l d Q E w v Y 2 X c d v 7 + / u 0 H u J y g k P K 9 m O n P R L T o z 9 5 6 S v 5 q T f n J P + Z 0 4 e 5 W R Q V C h n / z E Z q A v U o H m B G t i f 6 l d C V b F Q C C t L z 9 3 Q d R 2 9 9 3 5 c m b e K b v Y N v o Z + H w 4 g L 1 Y c l d U l o 8 a D D Y c t V L b C 5 2 V l m m y i 9 q Q R u q G C S u i x R V n 0 w F 8 q P P K 0 w O a 7 t l 2 G n t w L P h D f J 5 u w 7 4 i y 9 R 9 C 2 V K j b D V H 2 f r 0 K O e H K j m U H w Q w Z 9 8 h N e r l t 0 e a L J V O H h c P x U y 9 m V p u j 0 j G o I F y g v 9 G G 1 i z 0 l z J K p T E 7 l J J D W B R a b i T V B a m + F H B 9 D h Q j c i O 4 V Z 0 o o 6 5 / + G m b k Q H z R v R Q W 9 P w i 3 J q j k s m w k a d B Q p + S n r l + / y M v O 0 L Y V T 5 V 6 8 d m l y P l t 6 q N L K a 0 0 e L 0 X 4 I Q u d V X g v G / U z p l 1 c e 5 q D / r + L p W M P B / 0 d o E t c U U A H w 0 2 h A 4 l n g g 6 m s O S G + Y Z K k F B c Q y Y 3 c s k t J / z G p f 4 N E Z I K k W 5 L d f H 4 l y w 1 j f g c z 8 C m d e b 9 8 X v 7 E V H o C k D i F c z 6 5 z c w m z x A w / y Z i f 8 d E 3 8 C A A D / / w M A U E s B A i 0 A F A A G A A g A A A A h A C r d q k D S A A A A N w E A A B M A A A A A A A A A A A A A A A A A A A A A A F t D b 2 5 0 Z W 5 0 X 1 R 5 c G V z X S 5 4 b W x Q S w E C L Q A U A A I A C A A A A C E A N 7 + m p q 0 A A A D 3 A A A A E g A A A A A A A A A A A A A A A A A L A w A A Q 2 9 u Z m l n L 1 B h Y 2 t h Z 2 U u e G 1 s U E s B A i 0 A F A A C A A g A A A A h A C 1 N k Y 1 J B A A A L B k A A B M A A A A A A A A A A A A A A A A A 6 A M A A E Z v c m 1 1 b G F z L 1 N l Y 3 R p b 2 4 x L m 1 Q S w U G A A A A A A M A A w D C A A A A Y g g 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x 4 A A A A A A A A q n g 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U Y W J s Z T A 5 O C U y M C h Q Y W d l J T I w M T Q z K T w v S X R l b V B h d G g + P C 9 J d G V t T G 9 j Y X R p b 2 4 + P F N 0 Y W J s Z U V u d H J p Z X M + P E V u d H J 5 I F R 5 c G U 9 I k F k Z G V k V G 9 E Y X R h T W 9 k Z W w i I F Z h b H V l P S J s M S I v P j x F b n R y e S B U e X B l P S J C d W Z m Z X J O Z X h 0 U m V m c m V z a C I g V m F s d W U 9 I m w x I i 8 + P E V u d H J 5 I F R 5 c G U 9 I k Z p b G x D b 3 V u d C I g V m F s d W U 9 I m w 2 I i 8 + P E V u d H J 5 I F R 5 c G U 9 I k Z p b G x F b m F i b G V k I i B W Y W x 1 Z T 0 i b D A i L z 4 8 R W 5 0 c n k g V H l w Z T 0 i R m l s b E V y c m 9 y Q 2 9 k Z S I g V m F s d W U 9 I n N V b m t u b 3 d u I i 8 + P E V u d H J 5 I F R 5 c G U 9 I k Z p b G x F c n J v c k N v d W 5 0 I i B W Y W x 1 Z T 0 i b D A i L z 4 8 R W 5 0 c n k g V H l w Z T 0 i R m l s b E x h c 3 R V c G R h d G V k I i B W Y W x 1 Z T 0 i Z D I w M j U t M D E t M T Z U M T U 6 M j Q 6 M T A u N T A z M j Q z M l o i L z 4 8 R W 5 0 c n k g V H l w Z T 0 i R m l s b E N v b H V t b l R 5 c G V z I i B W Y W x 1 Z T 0 i c 0 J n W U d C U V V G Q X d R R k J n P T 0 i L z 4 8 R W 5 0 c n k g V H l w Z T 0 i R m l s b E N v b H V t b k 5 h b W V z I i B W Y W x 1 Z T 0 i c 1 s m c X V v d D t D b 2 x 1 b W 4 x J n F 1 b 3 Q 7 L C Z x d W 9 0 O 0 R h d G V z I G R l I G x h I E R T U C B l b l x u d m l n d W V 1 c i Z x d W 9 0 O y w m c X V v d D t D b 2 1 w Y W d u a W V c b m T D q W z D q W d h d G F p c m U m c X V v d D s s J n F 1 b 3 Q 7 R M O p Z m l j a X Q g Z F x 1 M D A y N 2 V 4 c G x v a X R h d G l v b l x u Z M O p Y 2 x h c s O p I D I w M T k g K E 3 i g q w p J n F 1 b 3 Q 7 L C Z x d W 9 0 O 0 N v b X B l b n N h d G l v b l x u Z X j D q W N 1 d M O p Z S B l b i A y M D E 5 X G 4 o T e K C r C k m c X V v d D s s J n F 1 b 3 Q 7 R G 9 u d C D D i X R h d C Z x d W 9 0 O y w m c X V v d D t Q Q V g g Z W 4 g M j A x O S Z x d W 9 0 O y w m c X V v d D t U Y X V 4 I G R l I H J l b X B s a X N z Y W d l X G 5 l b i A y M D E 5 J n F 1 b 3 Q 7 L C Z x d W 9 0 O 0 N v b X B l b n N h d G l v b i 9 Q Q V h c b m V u I D I w M T k g K G V u I G V 1 c m 9 z K S Z x d W 9 0 O y w m c X V v d D t W b 2 x z I G F u b n V l b H M g Z W 4 g M j A x O S Z x d W 9 0 O 1 0 i L z 4 8 R W 5 0 c n k g V H l w Z T 0 i R m l s b G V k Q 2 9 t c G x l d G V S Z X N 1 b H R U b 1 d v c m t z a G V l d C I g V m F s d W U 9 I m w w I i 8 + P E V u d H J 5 I F R 5 c G U 9 I k Z p b G x T d G F 0 d X M i I F Z h b H V l P S J z Q 2 9 t c G x l d G U i L z 4 8 R W 5 0 c n k g V H l w Z T 0 i R m l s b F R v R G F 0 Y U 1 v Z G V s R W 5 h Y m x l Z C I g V m F s d W U 9 I m w x I i 8 + P E V u d H J 5 I F R 5 c G U 9 I k l z U H J p d m F 0 Z S I g V m F s d W U 9 I m w w I i 8 + P E V u d H J 5 I F R 5 c G U 9 I l F 1 Z X J 5 S U Q i I F Z h b H V l P S J z M T B i Y T N k N j E t M D k z Y S 0 0 Y T V m L T h h M G Y t Y z Q 0 M z c z N T c 0 Z j E y I i 8 + P E V u d H J 5 I F R 5 c G U 9 I l J l b G F 0 a W 9 u c 2 h p c E l u Z m 9 D b 2 5 0 Y W l u Z X I i I F Z h b H V l P S J z e y Z x d W 9 0 O 2 N v b H V t b k N v d W 5 0 J n F 1 b 3 Q 7 O j E w L C Z x d W 9 0 O 2 t l e U N v b H V t b k 5 h b W V z J n F 1 b 3 Q 7 O l t d L C Z x d W 9 0 O 3 F 1 Z X J 5 U m V s Y X R p b 2 5 z a G l w c y Z x d W 9 0 O z p b X S w m c X V v d D t j b 2 x 1 b W 5 J Z G V u d G l 0 a W V z J n F 1 b 3 Q 7 O l s m c X V v d D t T Z W N 0 a W 9 u M S 9 U Y W J s Z T A 5 O C A o U G F n Z S A x N D M p L 1 R 5 c G U g b W 9 k a W Z p w 6 k u e y w w f S Z x d W 9 0 O y w m c X V v d D t T Z W N 0 a W 9 u M S 9 U Y W J s Z T A 5 O C A o U G F n Z S A x N D M p L 1 R 5 c G U g b W 9 k a W Z p w 6 k u e 0 R h d G V z I G R l I G x h I E R T U C B l b l x u d m l n d W V 1 c i w x f S Z x d W 9 0 O y w m c X V v d D t T Z W N 0 a W 9 u M S 9 U Y W J s Z T A 5 O C A o U G F n Z S A x N D M p L 1 R 5 c G U g b W 9 k a W Z p w 6 k u e 0 N v b X B h Z 2 5 p Z V x u Z M O p b M O p Z 2 F 0 Y W l y Z S w y f S Z x d W 9 0 O y w m c X V v d D t T Z W N 0 a W 9 u M S 9 U Y W J s Z T A 5 O C A o U G F n Z S A x N D M p L 1 R 5 c G U g b W 9 k a W Z p w 6 k u e 0 T D q W Z p Y 2 l 0 I G R c d T A w M j d l e H B s b 2 l 0 Y X R p b 2 5 c b m T D q W N s Y X L D q S A y M D E 5 I C h N 4 o K s K S w z f S Z x d W 9 0 O y w m c X V v d D t T Z W N 0 a W 9 u M S 9 U Y W J s Z T A 5 O C A o U G F n Z S A x N D M p L 1 R 5 c G U g b W 9 k a W Z p w 6 k u e 0 N v b X B l b n N h d G l v b l x u Z X j D q W N 1 d M O p Z S B l b i A y M D E 5 X G 4 o T e K C r C k s N H 0 m c X V v d D s s J n F 1 b 3 Q 7 U 2 V j d G l v b j E v V G F i b G U w O T g g K F B h Z 2 U g M T Q z K S 9 U e X B l I G 1 v Z G l m a c O p L n t E b 2 5 0 I M O J d G F 0 L D V 9 J n F 1 b 3 Q 7 L C Z x d W 9 0 O 1 N l Y 3 R p b 2 4 x L 1 R h Y m x l M D k 4 I C h Q Y W d l I D E 0 M y k v V H l w Z S B t b 2 R p Z m n D q S 5 7 U E F Y I G V u I D I w M T k s N n 0 m c X V v d D s s J n F 1 b 3 Q 7 U 2 V j d G l v b j E v V G F i b G U w O T g g K F B h Z 2 U g M T Q z K S 9 U e X B l I G 1 v Z G l m a c O p L n t U Y X V 4 I G R l I H J l b X B s a X N z Y W d l X G 5 l b i A y M D E 5 L D d 9 J n F 1 b 3 Q 7 L C Z x d W 9 0 O 1 N l Y 3 R p b 2 4 x L 1 R h Y m x l M D k 4 I C h Q Y W d l I D E 0 M y k v V H l w Z S B t b 2 R p Z m n D q S 5 7 Q 2 9 t c G V u c 2 F 0 a W 9 u L 1 B B W F x u Z W 4 g M j A x O S A o Z W 4 g Z X V y b 3 M p L D h 9 J n F 1 b 3 Q 7 L C Z x d W 9 0 O 1 N l Y 3 R p b 2 4 x L 1 R h Y m x l M D k 4 I C h Q Y W d l I D E 0 M y k v V H l w Z S B t b 2 R p Z m n D q S 5 7 V m 9 s c y B h b m 5 1 Z W x z I G V u I D I w M T k s O X 0 m c X V v d D t d L C Z x d W 9 0 O 0 N v b H V t b k N v d W 5 0 J n F 1 b 3 Q 7 O j E w L C Z x d W 9 0 O 0 t l e U N v b H V t b k 5 h b W V z J n F 1 b 3 Q 7 O l t d L C Z x d W 9 0 O 0 N v b H V t b k l k Z W 5 0 a X R p Z X M m c X V v d D s 6 W y Z x d W 9 0 O 1 N l Y 3 R p b 2 4 x L 1 R h Y m x l M D k 4 I C h Q Y W d l I D E 0 M y k v V H l w Z S B t b 2 R p Z m n D q S 5 7 L D B 9 J n F 1 b 3 Q 7 L C Z x d W 9 0 O 1 N l Y 3 R p b 2 4 x L 1 R h Y m x l M D k 4 I C h Q Y W d l I D E 0 M y k v V H l w Z S B t b 2 R p Z m n D q S 5 7 R G F 0 Z X M g Z G U g b G E g R F N Q I G V u X G 5 2 a W d 1 Z X V y L D F 9 J n F 1 b 3 Q 7 L C Z x d W 9 0 O 1 N l Y 3 R p b 2 4 x L 1 R h Y m x l M D k 4 I C h Q Y W d l I D E 0 M y k v V H l w Z S B t b 2 R p Z m n D q S 5 7 Q 2 9 t c G F n b m l l X G 5 k w 6 l s w 6 l n Y X R h a X J l L D J 9 J n F 1 b 3 Q 7 L C Z x d W 9 0 O 1 N l Y 3 R p b 2 4 x L 1 R h Y m x l M D k 4 I C h Q Y W d l I D E 0 M y k v V H l w Z S B t b 2 R p Z m n D q S 5 7 R M O p Z m l j a X Q g Z F x 1 M D A y N 2 V 4 c G x v a X R h d G l v b l x u Z M O p Y 2 x h c s O p I D I w M T k g K E 3 i g q w p L D N 9 J n F 1 b 3 Q 7 L C Z x d W 9 0 O 1 N l Y 3 R p b 2 4 x L 1 R h Y m x l M D k 4 I C h Q Y W d l I D E 0 M y k v V H l w Z S B t b 2 R p Z m n D q S 5 7 Q 2 9 t c G V u c 2 F 0 a W 9 u X G 5 l e M O p Y 3 V 0 w 6 l l I G V u I D I w M T l c b i h N 4 o K s K S w 0 f S Z x d W 9 0 O y w m c X V v d D t T Z W N 0 a W 9 u M S 9 U Y W J s Z T A 5 O C A o U G F n Z S A x N D M p L 1 R 5 c G U g b W 9 k a W Z p w 6 k u e 0 R v b n Q g w 4 l 0 Y X Q s N X 0 m c X V v d D s s J n F 1 b 3 Q 7 U 2 V j d G l v b j E v V G F i b G U w O T g g K F B h Z 2 U g M T Q z K S 9 U e X B l I G 1 v Z G l m a c O p L n t Q Q V g g Z W 4 g M j A x O S w 2 f S Z x d W 9 0 O y w m c X V v d D t T Z W N 0 a W 9 u M S 9 U Y W J s Z T A 5 O C A o U G F n Z S A x N D M p L 1 R 5 c G U g b W 9 k a W Z p w 6 k u e 1 R h d X g g Z G U g c m V t c G x p c 3 N h Z 2 V c b m V u I D I w M T k s N 3 0 m c X V v d D s s J n F 1 b 3 Q 7 U 2 V j d G l v b j E v V G F i b G U w O T g g K F B h Z 2 U g M T Q z K S 9 U e X B l I G 1 v Z G l m a c O p L n t D b 2 1 w Z W 5 z Y X R p b 2 4 v U E F Y X G 5 l b i A y M D E 5 I C h l b i B l d X J v c y k s O H 0 m c X V v d D s s J n F 1 b 3 Q 7 U 2 V j d G l v b j E v V G F i b G U w O T g g K F B h Z 2 U g M T Q z K S 9 U e X B l I G 1 v Z G l m a c O p L n t W b 2 x z I G F u b n V l b H M g Z W 4 g M j A x O S w 5 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b G U w O T k l M j A o U G F n Z S U y M D E 0 N C k 8 L 0 l 0 Z W 1 Q Y X R o P j w v S X R l b U x v Y 2 F 0 a W 9 u P j x T d G F i b G V F b n R y a W V z P j x F b n R y e S B U e X B l P S J B Z G R l Z F R v R G F 0 Y U 1 v Z G V s I i B W Y W x 1 Z T 0 i b D E i L z 4 8 R W 5 0 c n k g V H l w Z T 0 i Q n V m Z m V y T m V 4 d F J l Z n J l c 2 g i I F Z h b H V l P S J s M S I v P j x F b n R y e S B U e X B l P S J G a W x s Q 2 9 1 b n Q i I F Z h b H V l P S J s M T M i L z 4 8 R W 5 0 c n k g V H l w Z T 0 i R m l s b E V u Y W J s Z W Q i I F Z h b H V l P S J s M C I v P j x F b n R y e S B U e X B l P S J G a W x s R X J y b 3 J D b 2 R l I i B W Y W x 1 Z T 0 i c 1 V u a 2 5 v d 2 4 i L z 4 8 R W 5 0 c n k g V H l w Z T 0 i R m l s b E V y c m 9 y Q 2 9 1 b n Q i I F Z h b H V l P S J s M C I v P j x F b n R y e S B U e X B l P S J G a W x s T G F z d F V w Z G F 0 Z W Q i I F Z h b H V l P S J k M j A y N S 0 w M S 0 x N l Q x N T o y N D o x M C 4 1 M T c 2 M D I y W i I v P j x F b n R y e S B U e X B l P S J G a W x s Q 2 9 s d W 1 u V H l w Z X M i I F Z h b H V l P S J z Q m d Z R 0 J n W U d C Z 1 l H 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A i L z 4 8 R W 5 0 c n k g V H l w Z T 0 i R m l s b F N 0 Y X R 1 c y I g V m F s d W U 9 I n N D b 2 1 w b G V 0 Z S I v P j x F b n R y e S B U e X B l P S J G a W x s V G 9 E Y X R h T W 9 k Z W x F b m F i b G V k I i B W Y W x 1 Z T 0 i b D E i L z 4 8 R W 5 0 c n k g V H l w Z T 0 i S X N Q c m l 2 Y X R l I i B W Y W x 1 Z T 0 i b D A i L z 4 8 R W 5 0 c n k g V H l w Z T 0 i U X V l c n l J R C I g V m F s d W U 9 I n M w M T c 2 M j Q 4 N S 1 m O T Y 0 L T R j Y 2 Y t Y j Z j N i 0 0 M j g 0 M j g 4 Y T Y y O T E i L z 4 8 R W 5 0 c n k g V H l w Z T 0 i U m V s Y X R p b 2 5 z a G l w S W 5 m b 0 N v b n R h a W 5 l c i I g V m F s d W U 9 I n N 7 J n F 1 b 3 Q 7 Y 2 9 s d W 1 u Q 2 9 1 b n Q m c X V v d D s 6 M T A s J n F 1 b 3 Q 7 a 2 V 5 Q 2 9 s d W 1 u T m F t Z X M m c X V v d D s 6 W 1 0 s J n F 1 b 3 Q 7 c X V l c n l S Z W x h d G l v b n N o a X B z J n F 1 b 3 Q 7 O l t d L C Z x d W 9 0 O 2 N v b H V t b k l k Z W 5 0 a X R p Z X M m c X V v d D s 6 W y Z x d W 9 0 O 1 N l Y 3 R p b 2 4 x L 1 R h Y m x l M D k 5 I C h Q Y W d l I D E 0 N C k v V H l w Z S B t b 2 R p Z m n D q S 5 7 Q 2 9 s d W 1 u M S w w f S Z x d W 9 0 O y w m c X V v d D t T Z W N 0 a W 9 u M S 9 U Y W J s Z T A 5 O S A o U G F n Z S A x N D Q p L 1 R 5 c G U g b W 9 k a W Z p w 6 k u e 0 N v b H V t b j I s M X 0 m c X V v d D s s J n F 1 b 3 Q 7 U 2 V j d G l v b j E v V G F i b G U w O T k g K F B h Z 2 U g M T Q 0 K S 9 U e X B l I G 1 v Z G l m a c O p L n t D b 2 x 1 b W 4 z L D J 9 J n F 1 b 3 Q 7 L C Z x d W 9 0 O 1 N l Y 3 R p b 2 4 x L 1 R h Y m x l M D k 5 I C h Q Y W d l I D E 0 N C k v V H l w Z S B t b 2 R p Z m n D q S 5 7 Q 2 9 s d W 1 u N C w z f S Z x d W 9 0 O y w m c X V v d D t T Z W N 0 a W 9 u M S 9 U Y W J s Z T A 5 O S A o U G F n Z S A x N D Q p L 1 R 5 c G U g b W 9 k a W Z p w 6 k u e 0 N v b H V t b j U s N H 0 m c X V v d D s s J n F 1 b 3 Q 7 U 2 V j d G l v b j E v V G F i b G U w O T k g K F B h Z 2 U g M T Q 0 K S 9 U e X B l I G 1 v Z G l m a c O p L n t D b 2 x 1 b W 4 2 L D V 9 J n F 1 b 3 Q 7 L C Z x d W 9 0 O 1 N l Y 3 R p b 2 4 x L 1 R h Y m x l M D k 5 I C h Q Y W d l I D E 0 N C k v V H l w Z S B t b 2 R p Z m n D q S 5 7 Q 2 9 s d W 1 u N y w 2 f S Z x d W 9 0 O y w m c X V v d D t T Z W N 0 a W 9 u M S 9 U Y W J s Z T A 5 O S A o U G F n Z S A x N D Q p L 1 R 5 c G U g b W 9 k a W Z p w 6 k u e 0 N v b H V t b j g s N 3 0 m c X V v d D s s J n F 1 b 3 Q 7 U 2 V j d G l v b j E v V G F i b G U w O T k g K F B h Z 2 U g M T Q 0 K S 9 U e X B l I G 1 v Z G l m a c O p L n t D b 2 x 1 b W 4 5 L D h 9 J n F 1 b 3 Q 7 L C Z x d W 9 0 O 1 N l Y 3 R p b 2 4 x L 1 R h Y m x l M D k 5 I C h Q Y W d l I D E 0 N C k v V H l w Z S B t b 2 R p Z m n D q S 5 7 Q 2 9 s d W 1 u M T A s O X 0 m c X V v d D t d L C Z x d W 9 0 O 0 N v b H V t b k N v d W 5 0 J n F 1 b 3 Q 7 O j E w L C Z x d W 9 0 O 0 t l e U N v b H V t b k 5 h b W V z J n F 1 b 3 Q 7 O l t d L C Z x d W 9 0 O 0 N v b H V t b k l k Z W 5 0 a X R p Z X M m c X V v d D s 6 W y Z x d W 9 0 O 1 N l Y 3 R p b 2 4 x L 1 R h Y m x l M D k 5 I C h Q Y W d l I D E 0 N C k v V H l w Z S B t b 2 R p Z m n D q S 5 7 Q 2 9 s d W 1 u M S w w f S Z x d W 9 0 O y w m c X V v d D t T Z W N 0 a W 9 u M S 9 U Y W J s Z T A 5 O S A o U G F n Z S A x N D Q p L 1 R 5 c G U g b W 9 k a W Z p w 6 k u e 0 N v b H V t b j I s M X 0 m c X V v d D s s J n F 1 b 3 Q 7 U 2 V j d G l v b j E v V G F i b G U w O T k g K F B h Z 2 U g M T Q 0 K S 9 U e X B l I G 1 v Z G l m a c O p L n t D b 2 x 1 b W 4 z L D J 9 J n F 1 b 3 Q 7 L C Z x d W 9 0 O 1 N l Y 3 R p b 2 4 x L 1 R h Y m x l M D k 5 I C h Q Y W d l I D E 0 N C k v V H l w Z S B t b 2 R p Z m n D q S 5 7 Q 2 9 s d W 1 u N C w z f S Z x d W 9 0 O y w m c X V v d D t T Z W N 0 a W 9 u M S 9 U Y W J s Z T A 5 O S A o U G F n Z S A x N D Q p L 1 R 5 c G U g b W 9 k a W Z p w 6 k u e 0 N v b H V t b j U s N H 0 m c X V v d D s s J n F 1 b 3 Q 7 U 2 V j d G l v b j E v V G F i b G U w O T k g K F B h Z 2 U g M T Q 0 K S 9 U e X B l I G 1 v Z G l m a c O p L n t D b 2 x 1 b W 4 2 L D V 9 J n F 1 b 3 Q 7 L C Z x d W 9 0 O 1 N l Y 3 R p b 2 4 x L 1 R h Y m x l M D k 5 I C h Q Y W d l I D E 0 N C k v V H l w Z S B t b 2 R p Z m n D q S 5 7 Q 2 9 s d W 1 u N y w 2 f S Z x d W 9 0 O y w m c X V v d D t T Z W N 0 a W 9 u M S 9 U Y W J s Z T A 5 O S A o U G F n Z S A x N D Q p L 1 R 5 c G U g b W 9 k a W Z p w 6 k u e 0 N v b H V t b j g s N 3 0 m c X V v d D s s J n F 1 b 3 Q 7 U 2 V j d G l v b j E v V G F i b G U w O T k g K F B h Z 2 U g M T Q 0 K S 9 U e X B l I G 1 v Z G l m a c O p L n t D b 2 x 1 b W 4 5 L D h 9 J n F 1 b 3 Q 7 L C Z x d W 9 0 O 1 N l Y 3 R p b 2 4 x L 1 R h Y m x l M D k 5 I C h Q Y W d l I D E 0 N C k v V H l w Z S B t b 2 R p Z m n D q S 5 7 Q 2 9 s d W 1 u M T A s O X 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R h Y m x l M D g 0 J T I w K F B h Z 2 U l M j A x M T k p P C 9 J d G V t U G F 0 a D 4 8 L 0 l 0 Z W 1 M b 2 N h d G l v b j 4 8 U 3 R h Y m x l R W 5 0 c m l l c z 4 8 R W 5 0 c n k g V H l w Z T 0 i Q W R k Z W R U b 0 R h d G F N b 2 R l b C I g V m F s d W U 9 I m w x I i 8 + P E V u d H J 5 I F R 5 c G U 9 I k J 1 Z m Z l c k 5 l e H R S Z W Z y Z X N o I i B W Y W x 1 Z T 0 i b D E i L z 4 8 R W 5 0 c n k g V H l w Z T 0 i R m l s b E N v d W 5 0 I i B W Y W x 1 Z T 0 i b D Y i L z 4 8 R W 5 0 c n k g V H l w Z T 0 i R m l s b E V u Y W J s Z W Q i I F Z h b H V l P S J s M C I v P j x F b n R y e S B U e X B l P S J G a W x s R X J y b 3 J D b 2 R l I i B W Y W x 1 Z T 0 i c 1 V u a 2 5 v d 2 4 i L z 4 8 R W 5 0 c n k g V H l w Z T 0 i R m l s b E V y c m 9 y Q 2 9 1 b n Q i I F Z h b H V l P S J s M C I v P j x F b n R y e S B U e X B l P S J G a W x s T G F z d F V w Z G F 0 Z W Q i I F Z h b H V l P S J k M j A y N S 0 w M S 0 x N l Q x N T o 0 M D o z M S 4 y M D A 3 M j Q 0 W i I v P j x F b n R y e S B U e X B l P S J G a W x s Q 2 9 s d W 1 u V H l w Z X M i I F Z h b H V l P S J z Q m d N R E J B P T 0 i L z 4 8 R W 5 0 c n k g V H l w Z T 0 i R m l s b E N v b H V t b k 5 h b W V z I i B W Y W x 1 Z T 0 i c 1 s m c X V v d D t B w 6 l y b 3 B v c n R z J n F 1 b 3 Q 7 L C Z x d W 9 0 O 1 R y Y W Z p Y y A y M D E 5 J n F 1 b 3 Q 7 L C Z x d W 9 0 O 1 B l c n R l I G R l X G 5 w Y X N z Y W d l c n M m c X V v d D s s J n F 1 b 3 Q 7 U G F y d C B k Z S B s Y S B w Z X J 0 Z V x u Z G U g d H J h Z m l j I G R h b n M g b G U g d G 9 0 Y W x c b m R l I G z i g J l h w 6 l y b 3 B v c n Q m c X V v d D t d I i 8 + P E V u d H J 5 I F R 5 c G U 9 I k Z p b G x l Z E N v b X B s Z X R l U m V z d W x 0 V G 9 X b 3 J r c 2 h l Z X Q i I F Z h b H V l P S J s M C I v P j x F b n R y e S B U e X B l P S J G a W x s U 3 R h d H V z I i B W Y W x 1 Z T 0 i c 0 N v b X B s Z X R l I i 8 + P E V u d H J 5 I F R 5 c G U 9 I k Z p b G x U b 0 R h d G F N b 2 R l b E V u Y W J s Z W Q i I F Z h b H V l P S J s M S I v P j x F b n R y e S B U e X B l P S J J c 1 B y a X Z h d G U i I F Z h b H V l P S J s M C I v P j x F b n R y e S B U e X B l P S J R d W V y e U l E I i B W Y W x 1 Z T 0 i c z h m N z l k M D V i L T Z m N G U t N G Q z M i 0 4 N D k 3 L T A 3 N m I 5 M G Z i M z k 1 N S I v P j x F b n R y e S B U e X B l P S J S Z W x h d G l v b n N o a X B J b m Z v Q 2 9 u d G F p b m V y I i B W Y W x 1 Z T 0 i c 3 s m c X V v d D t j b 2 x 1 b W 5 D b 3 V u d C Z x d W 9 0 O z o 0 L C Z x d W 9 0 O 2 t l e U N v b H V t b k 5 h b W V z J n F 1 b 3 Q 7 O l t d L C Z x d W 9 0 O 3 F 1 Z X J 5 U m V s Y X R p b 2 5 z a G l w c y Z x d W 9 0 O z p b X S w m c X V v d D t j b 2 x 1 b W 5 J Z G V u d G l 0 a W V z J n F 1 b 3 Q 7 O l s m c X V v d D t T Z W N 0 a W 9 u M S 9 U Y W J s Z T A 4 N C A o U G F n Z S A x M T k p L 1 R 5 c G U g b W 9 k a W Z p w 6 k u e 0 H D q X J v c G 9 y d H M s M H 0 m c X V v d D s s J n F 1 b 3 Q 7 U 2 V j d G l v b j E v V G F i b G U w O D Q g K F B h Z 2 U g M T E 5 K S 9 U e X B l I G 1 v Z G l m a c O p L n t U c m F m a W M g M j A x O S w x f S Z x d W 9 0 O y w m c X V v d D t T Z W N 0 a W 9 u M S 9 U Y W J s Z T A 4 N C A o U G F n Z S A x M T k p L 1 R 5 c G U g b W 9 k a W Z p w 6 k u e 1 B l c n R l I G R l X G 5 w Y X N z Y W d l c n M s M n 0 m c X V v d D s s J n F 1 b 3 Q 7 U 2 V j d G l v b j E v V G F i b G U w O D Q g K F B h Z 2 U g M T E 5 K S 9 U e X B l I G 1 v Z G l m a c O p L n t Q Y X J 0 I G R l I G x h I H B l c n R l X G 5 k Z S B 0 c m F m a W M g Z G F u c y B s Z S B 0 b 3 R h b F x u Z G U g b O K A m W H D q X J v c G 9 y d C w z f S Z x d W 9 0 O 1 0 s J n F 1 b 3 Q 7 Q 2 9 s d W 1 u Q 2 9 1 b n Q m c X V v d D s 6 N C w m c X V v d D t L Z X l D b 2 x 1 b W 5 O Y W 1 l c y Z x d W 9 0 O z p b X S w m c X V v d D t D b 2 x 1 b W 5 J Z G V u d G l 0 a W V z J n F 1 b 3 Q 7 O l s m c X V v d D t T Z W N 0 a W 9 u M S 9 U Y W J s Z T A 4 N C A o U G F n Z S A x M T k p L 1 R 5 c G U g b W 9 k a W Z p w 6 k u e 0 H D q X J v c G 9 y d H M s M H 0 m c X V v d D s s J n F 1 b 3 Q 7 U 2 V j d G l v b j E v V G F i b G U w O D Q g K F B h Z 2 U g M T E 5 K S 9 U e X B l I G 1 v Z G l m a c O p L n t U c m F m a W M g M j A x O S w x f S Z x d W 9 0 O y w m c X V v d D t T Z W N 0 a W 9 u M S 9 U Y W J s Z T A 4 N C A o U G F n Z S A x M T k p L 1 R 5 c G U g b W 9 k a W Z p w 6 k u e 1 B l c n R l I G R l X G 5 w Y X N z Y W d l c n M s M n 0 m c X V v d D s s J n F 1 b 3 Q 7 U 2 V j d G l v b j E v V G F i b G U w O D Q g K F B h Z 2 U g M T E 5 K S 9 U e X B l I G 1 v Z G l m a c O p L n t Q Y X J 0 I G R l I G x h I H B l c n R l X G 5 k Z S B 0 c m F m a W M g Z G F u c y B s Z S B 0 b 3 R h b F x u Z G U g b O K A m W H D q X J v c G 9 y d C w z 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b G U w O D U l M j A o U G F n Z S U y M D E y M C k 8 L 0 l 0 Z W 1 Q Y X R o P j w v S X R l b U x v Y 2 F 0 a W 9 u P j x T d G F i b G V F b n R y a W V z P j x F b n R y e S B U e X B l P S J B Z G R l Z F R v R G F 0 Y U 1 v Z G V s I i B W Y W x 1 Z T 0 i b D E i L z 4 8 R W 5 0 c n k g V H l w Z T 0 i Q n V m Z m V y T m V 4 d F J l Z n J l c 2 g i I F Z h b H V l P S J s M S I v P j x F b n R y e S B U e X B l P S J G a W x s Q 2 9 1 b n Q i I F Z h b H V l P S J s M T Y i L z 4 8 R W 5 0 c n k g V H l w Z T 0 i R m l s b E V u Y W J s Z W Q i I F Z h b H V l P S J s M C I v P j x F b n R y e S B U e X B l P S J G a W x s R X J y b 3 J D b 2 R l I i B W Y W x 1 Z T 0 i c 1 V u a 2 5 v d 2 4 i L z 4 8 R W 5 0 c n k g V H l w Z T 0 i R m l s b E V y c m 9 y Q 2 9 1 b n Q i I F Z h b H V l P S J s M C I v P j x F b n R y e S B U e X B l P S J G a W x s T G F z d F V w Z G F 0 Z W Q i I F Z h b H V l P S J k M j A y N S 0 w M S 0 x N l Q x N T o 0 M D o z M S 4 y M D c w N T I 4 W i I v P j x F b n R y e S B U e X B l P S J G a W x s Q 2 9 s d W 1 u V H l w Z X M i I F Z h b H V l P S J z Q m d Z R E J R P T 0 i L z 4 8 R W 5 0 c n k g V H l w Z T 0 i R m l s b E N v b H V t b k 5 h b W V z I i B W Y W x 1 Z T 0 i c 1 s m c X V v d D t B w 6 l y b 3 B v c n Q g M S Z x d W 9 0 O y w m c X V v d D t B w 6 l y b 3 B v c n Q g M i Z x d W 9 0 O y w m c X V v d D t O b 2 1 i c m V c b m R l I H B h c 3 N h Z 2 V y c 1 x u K D I w M T k p J n F 1 b 3 Q 7 L C Z x d W 9 0 O 0 N P 4 o K C I G t 0 I C g y M D E 5 K S Z x d W 9 0 O 1 0 i L z 4 8 R W 5 0 c n k g V H l w Z T 0 i R m l s b G V k Q 2 9 t c G x l d G V S Z X N 1 b H R U b 1 d v c m t z a G V l d C I g V m F s d W U 9 I m w w I i 8 + P E V u d H J 5 I F R 5 c G U 9 I k Z p b G x T d G F 0 d X M i I F Z h b H V l P S J z Q 2 9 t c G x l d G U i L z 4 8 R W 5 0 c n k g V H l w Z T 0 i R m l s b F R v R G F 0 Y U 1 v Z G V s R W 5 h Y m x l Z C I g V m F s d W U 9 I m w x I i 8 + P E V u d H J 5 I F R 5 c G U 9 I k l z U H J p d m F 0 Z S I g V m F s d W U 9 I m w w I i 8 + P E V u d H J 5 I F R 5 c G U 9 I l F 1 Z X J 5 S U Q i I F Z h b H V l P S J z M W Z j N G V m Z m E t N m V i Y y 0 0 Z D U 3 L W F k O D c t N G Q 5 M j F j M W V k M z Q 2 I i 8 + P E V u d H J 5 I F R 5 c G U 9 I l J l b G F 0 a W 9 u c 2 h p c E l u Z m 9 D b 2 5 0 Y W l u Z X I i I F Z h b H V l P S J z e y Z x d W 9 0 O 2 N v b H V t b k N v d W 5 0 J n F 1 b 3 Q 7 O j Q s J n F 1 b 3 Q 7 a 2 V 5 Q 2 9 s d W 1 u T m F t Z X M m c X V v d D s 6 W 1 0 s J n F 1 b 3 Q 7 c X V l c n l S Z W x h d G l v b n N o a X B z J n F 1 b 3 Q 7 O l t d L C Z x d W 9 0 O 2 N v b H V t b k l k Z W 5 0 a X R p Z X M m c X V v d D s 6 W y Z x d W 9 0 O 1 N l Y 3 R p b 2 4 x L 1 R h Y m x l M D g 1 I C h Q Y W d l I D E y M C k v V H l w Z S B t b 2 R p Z m n D q S 5 7 Q c O p c m 9 w b 3 J 0 I D E s M H 0 m c X V v d D s s J n F 1 b 3 Q 7 U 2 V j d G l v b j E v V G F i b G U w O D U g K F B h Z 2 U g M T I w K S 9 U e X B l I G 1 v Z G l m a c O p L n t B w 6 l y b 3 B v c n Q g M i w x f S Z x d W 9 0 O y w m c X V v d D t T Z W N 0 a W 9 u M S 9 U Y W J s Z T A 4 N S A o U G F n Z S A x M j A p L 1 R 5 c G U g b W 9 k a W Z p w 6 k u e 0 5 v b W J y Z V x u Z G U g c G F z c 2 F n Z X J z X G 4 o M j A x O S k s M n 0 m c X V v d D s s J n F 1 b 3 Q 7 U 2 V j d G l v b j E v V G F i b G U w O D U g K F B h Z 2 U g M T I w K S 9 U e X B l I G 1 v Z G l m a c O p L n t D T + K C g i B r d C A o M j A x O S k s M 3 0 m c X V v d D t d L C Z x d W 9 0 O 0 N v b H V t b k N v d W 5 0 J n F 1 b 3 Q 7 O j Q s J n F 1 b 3 Q 7 S 2 V 5 Q 2 9 s d W 1 u T m F t Z X M m c X V v d D s 6 W 1 0 s J n F 1 b 3 Q 7 Q 2 9 s d W 1 u S W R l b n R p d G l l c y Z x d W 9 0 O z p b J n F 1 b 3 Q 7 U 2 V j d G l v b j E v V G F i b G U w O D U g K F B h Z 2 U g M T I w K S 9 U e X B l I G 1 v Z G l m a c O p L n t B w 6 l y b 3 B v c n Q g M S w w f S Z x d W 9 0 O y w m c X V v d D t T Z W N 0 a W 9 u M S 9 U Y W J s Z T A 4 N S A o U G F n Z S A x M j A p L 1 R 5 c G U g b W 9 k a W Z p w 6 k u e 0 H D q X J v c G 9 y d C A y L D F 9 J n F 1 b 3 Q 7 L C Z x d W 9 0 O 1 N l Y 3 R p b 2 4 x L 1 R h Y m x l M D g 1 I C h Q Y W d l I D E y M C k v V H l w Z S B t b 2 R p Z m n D q S 5 7 T m 9 t Y n J l X G 5 k Z S B w Y X N z Y W d l c n N c b i g y M D E 5 K S w y f S Z x d W 9 0 O y w m c X V v d D t T Z W N 0 a W 9 u M S 9 U Y W J s Z T A 4 N S A o U G F n Z S A x M j A p L 1 R 5 c G U g b W 9 k a W Z p w 6 k u e 0 N P 4 o K C I G t 0 I C g y M D E 5 K S w z 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b G U w O D Y l M j A o U G F n Z S U y M D E y M S k 8 L 0 l 0 Z W 1 Q Y X R o P j w v S X R l b U x v Y 2 F 0 a W 9 u P j x T d G F i b G V F b n R y a W V z P j x F b n R y e S B U e X B l P S J B Z G R l Z F R v R G F 0 Y U 1 v Z G V s I i B W Y W x 1 Z T 0 i b D E i L z 4 8 R W 5 0 c n k g V H l w Z T 0 i Q n V m Z m V y T m V 4 d F J l Z n J l c 2 g i I F Z h b H V l P S J s M S I v P j x F b n R y e S B U e X B l P S J G a W x s Q 2 9 1 b n Q i I F Z h b H V l P S J s M T M i L z 4 8 R W 5 0 c n k g V H l w Z T 0 i R m l s b E V u Y W J s Z W Q i I F Z h b H V l P S J s M C I v P j x F b n R y e S B U e X B l P S J G a W x s R X J y b 3 J D b 2 R l I i B W Y W x 1 Z T 0 i c 1 V u a 2 5 v d 2 4 i L z 4 8 R W 5 0 c n k g V H l w Z T 0 i R m l s b E V y c m 9 y Q 2 9 1 b n Q i I F Z h b H V l P S J s M C I v P j x F b n R y e S B U e X B l P S J G a W x s T G F z d F V w Z G F 0 Z W Q i I F Z h b H V l P S J k M j A y N S 0 w M S 0 x N l Q x N T o 0 M D o z M S 4 y M T U w O T U 5 W i I v P j x F b n R y e S B U e X B l P S J G a W x s Q 2 9 s d W 1 u V H l w Z X M i I F Z h b H V l P S J z Q m d Z R E J R P T 0 i L z 4 8 R W 5 0 c n k g V H l w Z T 0 i R m l s b E N v b H V t b k 5 h b W V z I i B W Y W x 1 Z T 0 i c 1 s m c X V v d D t B w 6 l y b 3 B v c n Q g M S Z x d W 9 0 O y w m c X V v d D t B w 6 l y b 3 B v c n Q g M i Z x d W 9 0 O y w m c X V v d D t O b 2 1 i c m V c b m R l I H B h c 3 N h Z 2 V y c 1 x u K D I w M T k p J n F 1 b 3 Q 7 L C Z x d W 9 0 O 0 N P 4 o K C I G t 0 I C g y M D E 5 K S Z x d W 9 0 O 1 0 i L z 4 8 R W 5 0 c n k g V H l w Z T 0 i R m l s b G V k Q 2 9 t c G x l d G V S Z X N 1 b H R U b 1 d v c m t z a G V l d C I g V m F s d W U 9 I m w w I i 8 + P E V u d H J 5 I F R 5 c G U 9 I k Z p b G x T d G F 0 d X M i I F Z h b H V l P S J z Q 2 9 t c G x l d G U i L z 4 8 R W 5 0 c n k g V H l w Z T 0 i R m l s b F R v R G F 0 Y U 1 v Z G V s R W 5 h Y m x l Z C I g V m F s d W U 9 I m w x I i 8 + P E V u d H J 5 I F R 5 c G U 9 I k l z U H J p d m F 0 Z S I g V m F s d W U 9 I m w w I i 8 + P E V u d H J 5 I F R 5 c G U 9 I l F 1 Z X J 5 S U Q i I F Z h b H V l P S J z N m J h Z D k 5 M W E t Y j F l N C 0 0 Y T g x L W J m N j g t O T d l O T Q y M W Y 1 N z F h I i 8 + P E V u d H J 5 I F R 5 c G U 9 I l J l b G F 0 a W 9 u c 2 h p c E l u Z m 9 D b 2 5 0 Y W l u Z X I i I F Z h b H V l P S J z e y Z x d W 9 0 O 2 N v b H V t b k N v d W 5 0 J n F 1 b 3 Q 7 O j Q s J n F 1 b 3 Q 7 a 2 V 5 Q 2 9 s d W 1 u T m F t Z X M m c X V v d D s 6 W 1 0 s J n F 1 b 3 Q 7 c X V l c n l S Z W x h d G l v b n N o a X B z J n F 1 b 3 Q 7 O l t d L C Z x d W 9 0 O 2 N v b H V t b k l k Z W 5 0 a X R p Z X M m c X V v d D s 6 W y Z x d W 9 0 O 1 N l Y 3 R p b 2 4 x L 1 R h Y m x l M D g 2 I C h Q Y W d l I D E y M S k v V H l w Z S B t b 2 R p Z m n D q S 5 7 Q c O p c m 9 w b 3 J 0 I D E s M H 0 m c X V v d D s s J n F 1 b 3 Q 7 U 2 V j d G l v b j E v V G F i b G U w O D Y g K F B h Z 2 U g M T I x K S 9 U e X B l I G 1 v Z G l m a c O p L n t B w 6 l y b 3 B v c n Q g M i w x f S Z x d W 9 0 O y w m c X V v d D t T Z W N 0 a W 9 u M S 9 U Y W J s Z T A 4 N i A o U G F n Z S A x M j E p L 1 R 5 c G U g b W 9 k a W Z p w 6 k u e 0 5 v b W J y Z V x u Z G U g c G F z c 2 F n Z X J z X G 4 o M j A x O S k s M n 0 m c X V v d D s s J n F 1 b 3 Q 7 U 2 V j d G l v b j E v V G F i b G U w O D Y g K F B h Z 2 U g M T I x K S 9 U e X B l I G 1 v Z G l m a c O p L n t D T + K C g i B r d C A o M j A x O S k s M 3 0 m c X V v d D t d L C Z x d W 9 0 O 0 N v b H V t b k N v d W 5 0 J n F 1 b 3 Q 7 O j Q s J n F 1 b 3 Q 7 S 2 V 5 Q 2 9 s d W 1 u T m F t Z X M m c X V v d D s 6 W 1 0 s J n F 1 b 3 Q 7 Q 2 9 s d W 1 u S W R l b n R p d G l l c y Z x d W 9 0 O z p b J n F 1 b 3 Q 7 U 2 V j d G l v b j E v V G F i b G U w O D Y g K F B h Z 2 U g M T I x K S 9 U e X B l I G 1 v Z G l m a c O p L n t B w 6 l y b 3 B v c n Q g M S w w f S Z x d W 9 0 O y w m c X V v d D t T Z W N 0 a W 9 u M S 9 U Y W J s Z T A 4 N i A o U G F n Z S A x M j E p L 1 R 5 c G U g b W 9 k a W Z p w 6 k u e 0 H D q X J v c G 9 y d C A y L D F 9 J n F 1 b 3 Q 7 L C Z x d W 9 0 O 1 N l Y 3 R p b 2 4 x L 1 R h Y m x l M D g 2 I C h Q Y W d l I D E y M S k v V H l w Z S B t b 2 R p Z m n D q S 5 7 T m 9 t Y n J l X G 5 k Z S B w Y X N z Y W d l c n N c b i g y M D E 5 K S w y f S Z x d W 9 0 O y w m c X V v d D t T Z W N 0 a W 9 u M S 9 U Y W J s Z T A 4 N i A o U G F n Z S A x M j E p L 1 R 5 c G U g b W 9 k a W Z p w 6 k u e 0 N P 4 o K C I G t 0 I C g y M D E 5 K S w z 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b G U w N z Q l M j A o U G F n Z S U y M D k x K T w v S X R l b V B h d G g + P C 9 J d G V t T G 9 j Y X R p b 2 4 + P F N 0 Y W J s Z U V u d H J p Z X M + P E V u d H J 5 I F R 5 c G U 9 I k F k Z G V k V G 9 E Y X R h T W 9 k Z W w i I F Z h b H V l P S J s M S I v P j x F b n R y e S B U e X B l P S J C d W Z m Z X J O Z X h 0 U m V m c m V z a C I g V m F s d W U 9 I m w x I i 8 + P E V u d H J 5 I F R 5 c G U 9 I k Z p b G x D b 3 V u d C I g V m F s d W U 9 I m w 1 I i 8 + P E V u d H J 5 I F R 5 c G U 9 I k Z p b G x F b m F i b G V k I i B W Y W x 1 Z T 0 i b D A i L z 4 8 R W 5 0 c n k g V H l w Z T 0 i R m l s b E V y c m 9 y Q 2 9 k Z S I g V m F s d W U 9 I n N V b m t u b 3 d u I i 8 + P E V u d H J 5 I F R 5 c G U 9 I k Z p b G x F c n J v c k N v d W 5 0 I i B W Y W x 1 Z T 0 i b D A i L z 4 8 R W 5 0 c n k g V H l w Z T 0 i R m l s b E x h c 3 R V c G R h d G V k I i B W Y W x 1 Z T 0 i Z D I w M j U t M D E t M T Z U M T U 6 N T c 6 M j I u M T k 4 O D k 3 N 1 o i L z 4 8 R W 5 0 c n k g V H l w Z T 0 i R m l s b E N v b H V t b l R 5 c G V z I i B W Y W x 1 Z T 0 i c 0 J n V U Z C U V V E I i 8 + P E V u d H J 5 I F R 5 c G U 9 I k Z p b G x D b 2 x 1 b W 5 O Y W 1 l c y I g V m F s d W U 9 I n N b J n F 1 b 3 Q 7 Q 2 9 s d W 1 u M S Z x d W 9 0 O y w m c X V v d D t B w 6 l y b 3 B v c n R z I H B v d X J c b j E w M D A g a 2 1 e e z J 9 J n F 1 b 3 Q 7 L C Z x d W 9 0 O 0 h h Y m l 0 Y W 5 0 c 1 x u c G F y I G H D q X J v c G 9 y d F x u K G 1 p b G x p b 2 5 z K S Z x d W 9 0 O y w m c X V v d D t U b 3 R h b F x u U G F z c 2 F n Z X J z X G 4 o b W l s b G l v b n M p J n F 1 b 3 Q 7 L C Z x d W 9 0 O 1 R v d G F s I H Z p c 2 l 0 Z X V y c 1 x u Z G U g d G 9 1 c m l z b W V c b i h t a W x s a W 9 u c y k m c X V v d D s s J n F 1 b 3 Q 7 U G F z c 2 F n Z X J z X G 5 w Y X I g Y c O p c m 9 w b 3 J 0 X G 5 l b i B t b 3 l l b m 5 l J n F 1 b 3 Q 7 X S I v P j x F b n R y e S B U e X B l P S J G a W x s Z W R D b 2 1 w b G V 0 Z V J l c 3 V s d F R v V 2 9 y a 3 N o Z W V 0 I i B W Y W x 1 Z T 0 i b D A i L z 4 8 R W 5 0 c n k g V H l w Z T 0 i R m l s b F N 0 Y X R 1 c y I g V m F s d W U 9 I n N D b 2 1 w b G V 0 Z S I v P j x F b n R y e S B U e X B l P S J G a W x s V G 9 E Y X R h T W 9 k Z W x F b m F i b G V k I i B W Y W x 1 Z T 0 i b D E i L z 4 8 R W 5 0 c n k g V H l w Z T 0 i S X N Q c m l 2 Y X R l I i B W Y W x 1 Z T 0 i b D A i L z 4 8 R W 5 0 c n k g V H l w Z T 0 i U X V l c n l J R C I g V m F s d W U 9 I n N i Z D U 0 Y T I w O S 0 y N W Z j L T Q 4 N W I t Y m I 2 O C 0 4 M 2 Q 1 Y m M w Y z M 2 Z G Y i L z 4 8 R W 5 0 c n k g V H l w Z T 0 i U m V s Y X R p b 2 5 z a G l w S W 5 m b 0 N v b n R h a W 5 l c i I g V m F s d W U 9 I n N 7 J n F 1 b 3 Q 7 Y 2 9 s d W 1 u Q 2 9 1 b n Q m c X V v d D s 6 N i w m c X V v d D t r Z X l D b 2 x 1 b W 5 O Y W 1 l c y Z x d W 9 0 O z p b X S w m c X V v d D t x d W V y e V J l b G F 0 a W 9 u c 2 h p c H M m c X V v d D s 6 W 1 0 s J n F 1 b 3 Q 7 Y 2 9 s d W 1 u S W R l b n R p d G l l c y Z x d W 9 0 O z p b J n F 1 b 3 Q 7 U 2 V j d G l v b j E v V G F i b G U w N z Q g K F B h Z 2 U g O T E p L 1 R 5 c G U g b W 9 k a W Z p w 6 k u e y w w f S Z x d W 9 0 O y w m c X V v d D t T Z W N 0 a W 9 u M S 9 U Y W J s Z T A 3 N C A o U G F n Z S A 5 M S k v V H l w Z S B t b 2 R p Z m n D q S 5 7 Q c O p c m 9 w b 3 J 0 c y B w b 3 V y X G 4 x M D A w I G t t X n t 7 M n 0 s M X 0 m c X V v d D s s J n F 1 b 3 Q 7 U 2 V j d G l v b j E v V G F i b G U w N z Q g K F B h Z 2 U g O T E p L 1 R 5 c G U g b W 9 k a W Z p w 6 k u e 0 h h Y m l 0 Y W 5 0 c 1 x u c G F y I G H D q X J v c G 9 y d F x u K G 1 p b G x p b 2 5 z K S w y f S Z x d W 9 0 O y w m c X V v d D t T Z W N 0 a W 9 u M S 9 U Y W J s Z T A 3 N C A o U G F n Z S A 5 M S k v V H l w Z S B t b 2 R p Z m n D q S 5 7 V G 9 0 Y W x c b l B h c 3 N h Z 2 V y c 1 x u K G 1 p b G x p b 2 5 z K S w z f S Z x d W 9 0 O y w m c X V v d D t T Z W N 0 a W 9 u M S 9 U Y W J s Z T A 3 N C A o U G F n Z S A 5 M S k v V H l w Z S B t b 2 R p Z m n D q S 5 7 V G 9 0 Y W w g d m l z a X R l d X J z X G 5 k Z S B 0 b 3 V y a X N t Z V x u K G 1 p b G x p b 2 5 z K S w 0 f S Z x d W 9 0 O y w m c X V v d D t T Z W N 0 a W 9 u M S 9 U Y W J s Z T A 3 N C A o U G F n Z S A 5 M S k v V H l w Z S B t b 2 R p Z m n D q S 5 7 U G F z c 2 F n Z X J z X G 5 w Y X I g Y c O p c m 9 w b 3 J 0 X G 5 l b i B t b 3 l l b m 5 l L D V 9 J n F 1 b 3 Q 7 X S w m c X V v d D t D b 2 x 1 b W 5 D b 3 V u d C Z x d W 9 0 O z o 2 L C Z x d W 9 0 O 0 t l e U N v b H V t b k 5 h b W V z J n F 1 b 3 Q 7 O l t d L C Z x d W 9 0 O 0 N v b H V t b k l k Z W 5 0 a X R p Z X M m c X V v d D s 6 W y Z x d W 9 0 O 1 N l Y 3 R p b 2 4 x L 1 R h Y m x l M D c 0 I C h Q Y W d l I D k x K S 9 U e X B l I G 1 v Z G l m a c O p L n s s M H 0 m c X V v d D s s J n F 1 b 3 Q 7 U 2 V j d G l v b j E v V G F i b G U w N z Q g K F B h Z 2 U g O T E p L 1 R 5 c G U g b W 9 k a W Z p w 6 k u e 0 H D q X J v c G 9 y d H M g c G 9 1 c l x u M T A w M C B r b V 5 7 e z J 9 L D F 9 J n F 1 b 3 Q 7 L C Z x d W 9 0 O 1 N l Y 3 R p b 2 4 x L 1 R h Y m x l M D c 0 I C h Q Y W d l I D k x K S 9 U e X B l I G 1 v Z G l m a c O p L n t I Y W J p d G F u d H N c b n B h c i B h w 6 l y b 3 B v c n R c b i h t a W x s a W 9 u c y k s M n 0 m c X V v d D s s J n F 1 b 3 Q 7 U 2 V j d G l v b j E v V G F i b G U w N z Q g K F B h Z 2 U g O T E p L 1 R 5 c G U g b W 9 k a W Z p w 6 k u e 1 R v d G F s X G 5 Q Y X N z Y W d l c n N c b i h t a W x s a W 9 u c y k s M 3 0 m c X V v d D s s J n F 1 b 3 Q 7 U 2 V j d G l v b j E v V G F i b G U w N z Q g K F B h Z 2 U g O T E p L 1 R 5 c G U g b W 9 k a W Z p w 6 k u e 1 R v d G F s I H Z p c 2 l 0 Z X V y c 1 x u Z G U g d G 9 1 c m l z b W V c b i h t a W x s a W 9 u c y k s N H 0 m c X V v d D s s J n F 1 b 3 Q 7 U 2 V j d G l v b j E v V G F i b G U w N z Q g K F B h Z 2 U g O T E p L 1 R 5 c G U g b W 9 k a W Z p w 6 k u e 1 B h c 3 N h Z 2 V y c 1 x u c G F y I G H D q X J v c G 9 y d F x u Z W 4 g b W 9 5 Z W 5 u Z S w 1 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N z M l M j A o U G F n Z S U y M D k x K T w v S X R l b V B h d G g + P C 9 J d G V t T G 9 j Y X R p b 2 4 + P F N 0 Y W J s Z U V u d H J p Z X M + P E V u d H J 5 I F R 5 c G U 9 I k F k Z G V k V G 9 E Y X R h T W 9 k Z W w i I F Z h b H V l P S J s M S I v P j x F b n R y e S B U e X B l P S J C d W Z m Z X J O Z X h 0 U m V m c m V z a C I g V m F s d W U 9 I m w x I i 8 + P E V u d H J 5 I F R 5 c G U 9 I k Z p b G x D b 3 V u d C I g V m F s d W U 9 I m w 1 I i 8 + P E V u d H J 5 I F R 5 c G U 9 I k Z p b G x F b m F i b G V k I i B W Y W x 1 Z T 0 i b D A i L z 4 8 R W 5 0 c n k g V H l w Z T 0 i R m l s b E V y c m 9 y Q 2 9 k Z S I g V m F s d W U 9 I n N V b m t u b 3 d u I i 8 + P E V u d H J 5 I F R 5 c G U 9 I k Z p b G x F c n J v c k N v d W 5 0 I i B W Y W x 1 Z T 0 i b D A i L z 4 8 R W 5 0 c n k g V H l w Z T 0 i R m l s b E x h c 3 R V c G R h d G V k I i B W Y W x 1 Z T 0 i Z D I w M j U t M D E t M T Z U M T U 6 N T c 6 M j I u M j A 3 O D c 5 N 1 o i L z 4 8 R W 5 0 c n k g V H l w Z T 0 i R m l s b E N v b H V t b l R 5 c G V z I i B W Y W x 1 Z T 0 i c 0 J n T U R B d 0 1 E Q X c 9 P S I v P j x F b n R y e S B U e X B l P S J G a W x s Q 2 9 s d W 1 u T m F t Z X M i I F Z h b H V l P S J z W y Z x d W 9 0 O 0 N v b H V t b j E m c X V v d D s s J n F 1 b 3 Q 7 Q c O p c m 9 w b 3 J 0 c 1 x u Z W 5 0 c m U g M S A w M D B c b m V 0 I D E w I D A w M F x u c G F z c 2 F n Z X J z J n F 1 b 3 Q 7 L C Z x d W 9 0 O 0 H D q X J v c G 9 y d H N c b m V u d H J l X G 4 x M C A w M D B c b m V 0 I D I w M C A w M D B c b n B h c 3 N h Z 2 V y c y Z x d W 9 0 O y w m c X V v d D t B w 6 l y b 3 B v c n R z X G 5 l b n R y Z V x u M j A w I D A w M C B l d F x u M S B t a W x s a W 9 u I G R l X G 5 w Y X N z Y W d l c n M m c X V v d D s s J n F 1 b 3 Q 7 Q c O p c m 9 w b 3 J 0 c 1 x u Z W 5 0 c m U g M S B l d F x u M y B t a W x s a W 9 u c y B k Z V x u c G F z c 2 F n Z X J z J n F 1 b 3 Q 7 L C Z x d W 9 0 O 0 H D q X J v c G 9 y d H N c b m R l I H B s d X M g Z G V c b j M g b W l s b G l v b n M g Z G V c b n B h c 3 N h Z 2 V y c y Z x d W 9 0 O y w m c X V v d D t U b 3 R h b C B h w 6 l y b 3 B v c n R z X G 5 k Z S B w b H V z I G R l X G 4 x I D A w M C B w Y X N z Y W d l c n M m c X V v d D t d I i 8 + P E V u d H J 5 I F R 5 c G U 9 I k Z p b G x l Z E N v b X B s Z X R l U m V z d W x 0 V G 9 X b 3 J r c 2 h l Z X Q i I F Z h b H V l P S J s M C I v P j x F b n R y e S B U e X B l P S J G a W x s U 3 R h d H V z I i B W Y W x 1 Z T 0 i c 0 N v b X B s Z X R l I i 8 + P E V u d H J 5 I F R 5 c G U 9 I k Z p b G x U b 0 R h d G F N b 2 R l b E V u Y W J s Z W Q i I F Z h b H V l P S J s M S I v P j x F b n R y e S B U e X B l P S J J c 1 B y a X Z h d G U i I F Z h b H V l P S J s M C I v P j x F b n R y e S B U e X B l P S J R d W V y e U l E I i B W Y W x 1 Z T 0 i c z g 5 Z j Q w Z D U z L T F k Y W I t N D U 3 Y i 0 5 Y W Z l L T N l O T U y Z j g x N j E 3 Y S I v P j x F b n R y e S B U e X B l P S J S Z W x h d G l v b n N o a X B J b m Z v Q 2 9 u d G F p b m V y I i B W Y W x 1 Z T 0 i c 3 s m c X V v d D t j b 2 x 1 b W 5 D b 3 V u d C Z x d W 9 0 O z o 3 L C Z x d W 9 0 O 2 t l e U N v b H V t b k 5 h b W V z J n F 1 b 3 Q 7 O l t d L C Z x d W 9 0 O 3 F 1 Z X J 5 U m V s Y X R p b 2 5 z a G l w c y Z x d W 9 0 O z p b X S w m c X V v d D t j b 2 x 1 b W 5 J Z G V u d G l 0 a W V z J n F 1 b 3 Q 7 O l s m c X V v d D t T Z W N 0 a W 9 u M S 9 U Y W J s Z T A 3 M y A o U G F n Z S A 5 M S k v V H l w Z S B t b 2 R p Z m n D q S 5 7 L D B 9 J n F 1 b 3 Q 7 L C Z x d W 9 0 O 1 N l Y 3 R p b 2 4 x L 1 R h Y m x l M D c z I C h Q Y W d l I D k x K S 9 U e X B l I G 1 v Z G l m a c O p L n t B w 6 l y b 3 B v c n R z X G 5 l b n R y Z S A x I D A w M F x u Z X Q g M T A g M D A w X G 5 w Y X N z Y W d l c n M s M X 0 m c X V v d D s s J n F 1 b 3 Q 7 U 2 V j d G l v b j E v V G F i b G U w N z M g K F B h Z 2 U g O T E p L 1 R 5 c G U g b W 9 k a W Z p w 6 k u e 0 H D q X J v c G 9 y d H N c b m V u d H J l X G 4 x M C A w M D B c b m V 0 I D I w M C A w M D B c b n B h c 3 N h Z 2 V y c y w y f S Z x d W 9 0 O y w m c X V v d D t T Z W N 0 a W 9 u M S 9 U Y W J s Z T A 3 M y A o U G F n Z S A 5 M S k v V H l w Z S B t b 2 R p Z m n D q S 5 7 Q c O p c m 9 w b 3 J 0 c 1 x u Z W 5 0 c m V c b j I w M C A w M D A g Z X R c b j E g b W l s b G l v b i B k Z V x u c G F z c 2 F n Z X J z L D N 9 J n F 1 b 3 Q 7 L C Z x d W 9 0 O 1 N l Y 3 R p b 2 4 x L 1 R h Y m x l M D c z I C h Q Y W d l I D k x K S 9 U e X B l I G 1 v Z G l m a c O p L n t B w 6 l y b 3 B v c n R z X G 5 l b n R y Z S A x I G V 0 X G 4 z I G 1 p b G x p b 2 5 z I G R l X G 5 w Y X N z Y W d l c n M s N H 0 m c X V v d D s s J n F 1 b 3 Q 7 U 2 V j d G l v b j E v V G F i b G U w N z M g K F B h Z 2 U g O T E p L 1 R 5 c G U g b W 9 k a W Z p w 6 k u e 0 H D q X J v c G 9 y d H N c b m R l I H B s d X M g Z G V c b j M g b W l s b G l v b n M g Z G V c b n B h c 3 N h Z 2 V y c y w 1 f S Z x d W 9 0 O y w m c X V v d D t T Z W N 0 a W 9 u M S 9 U Y W J s Z T A 3 M y A o U G F n Z S A 5 M S k v V H l w Z S B t b 2 R p Z m n D q S 5 7 V G 9 0 Y W w g Y c O p c m 9 w b 3 J 0 c 1 x u Z G U g c G x 1 c y B k Z V x u M S A w M D A g c G F z c 2 F n Z X J z L D Z 9 J n F 1 b 3 Q 7 X S w m c X V v d D t D b 2 x 1 b W 5 D b 3 V u d C Z x d W 9 0 O z o 3 L C Z x d W 9 0 O 0 t l e U N v b H V t b k 5 h b W V z J n F 1 b 3 Q 7 O l t d L C Z x d W 9 0 O 0 N v b H V t b k l k Z W 5 0 a X R p Z X M m c X V v d D s 6 W y Z x d W 9 0 O 1 N l Y 3 R p b 2 4 x L 1 R h Y m x l M D c z I C h Q Y W d l I D k x K S 9 U e X B l I G 1 v Z G l m a c O p L n s s M H 0 m c X V v d D s s J n F 1 b 3 Q 7 U 2 V j d G l v b j E v V G F i b G U w N z M g K F B h Z 2 U g O T E p L 1 R 5 c G U g b W 9 k a W Z p w 6 k u e 0 H D q X J v c G 9 y d H N c b m V u d H J l I D E g M D A w X G 5 l d C A x M C A w M D B c b n B h c 3 N h Z 2 V y c y w x f S Z x d W 9 0 O y w m c X V v d D t T Z W N 0 a W 9 u M S 9 U Y W J s Z T A 3 M y A o U G F n Z S A 5 M S k v V H l w Z S B t b 2 R p Z m n D q S 5 7 Q c O p c m 9 w b 3 J 0 c 1 x u Z W 5 0 c m V c b j E w I D A w M F x u Z X Q g M j A w I D A w M F x u c G F z c 2 F n Z X J z L D J 9 J n F 1 b 3 Q 7 L C Z x d W 9 0 O 1 N l Y 3 R p b 2 4 x L 1 R h Y m x l M D c z I C h Q Y W d l I D k x K S 9 U e X B l I G 1 v Z G l m a c O p L n t B w 6 l y b 3 B v c n R z X G 5 l b n R y Z V x u M j A w I D A w M C B l d F x u M S B t a W x s a W 9 u I G R l X G 5 w Y X N z Y W d l c n M s M 3 0 m c X V v d D s s J n F 1 b 3 Q 7 U 2 V j d G l v b j E v V G F i b G U w N z M g K F B h Z 2 U g O T E p L 1 R 5 c G U g b W 9 k a W Z p w 6 k u e 0 H D q X J v c G 9 y d H N c b m V u d H J l I D E g Z X R c b j M g b W l s b G l v b n M g Z G V c b n B h c 3 N h Z 2 V y c y w 0 f S Z x d W 9 0 O y w m c X V v d D t T Z W N 0 a W 9 u M S 9 U Y W J s Z T A 3 M y A o U G F n Z S A 5 M S k v V H l w Z S B t b 2 R p Z m n D q S 5 7 Q c O p c m 9 w b 3 J 0 c 1 x u Z G U g c G x 1 c y B k Z V x u M y B t a W x s a W 9 u c y B k Z V x u c G F z c 2 F n Z X J z L D V 9 J n F 1 b 3 Q 7 L C Z x d W 9 0 O 1 N l Y 3 R p b 2 4 x L 1 R h Y m x l M D c z I C h Q Y W d l I D k x K S 9 U e X B l I G 1 v Z G l m a c O p L n t U b 3 R h b C B h w 6 l y b 3 B v c n R z X G 5 k Z S B w b H V z I G R l X G 4 x I D A w M C B w Y X N z Y W d l c n M s N n 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c 1 J T I w K F B h Z 2 U l M j A 5 M i k 8 L 0 l 0 Z W 1 Q Y X R o P j w v S X R l b U x v Y 2 F 0 a W 9 u P j x T d G F i b G V F b n R y a W V z P j x F b n R y e S B U e X B l P S J B Z G R l Z F R v R G F 0 Y U 1 v Z G V s I i B W Y W x 1 Z T 0 i b D E i L z 4 8 R W 5 0 c n k g V H l w Z T 0 i Q n V m Z m V y T m V 4 d F J l Z n J l c 2 g i I F Z h b H V l P S J s M S I v P j x F b n R y e S B U e X B l P S J G a W x s Q 2 9 1 b n Q i I F Z h b H V l P S J s N S I v P j x F b n R y e S B U e X B l P S J G a W x s R W 5 h Y m x l Z C I g V m F s d W U 9 I m w w I i 8 + P E V u d H J 5 I F R 5 c G U 9 I k Z p b G x F c n J v c k N v Z G U i I F Z h b H V l P S J z V W 5 r b m 9 3 b i I v P j x F b n R y e S B U e X B l P S J G a W x s R X J y b 3 J D b 3 V u d C I g V m F s d W U 9 I m w w I i 8 + P E V u d H J 5 I F R 5 c G U 9 I k Z p b G x M Y X N 0 V X B k Y X R l Z C I g V m F s d W U 9 I m Q y M D I 1 L T A x L T E 2 V D E 1 O j U 3 O j I y L j I x N T g 1 N D h a I i 8 + P E V u d H J 5 I F R 5 c G U 9 I k Z p b G x D b 2 x 1 b W 5 U e X B l c y I g V m F s d W U 9 I n N C Z 1 V G Q l E 9 P S I v P j x F b n R y e S B U e X B l P S J G a W x s Q 2 9 s d W 1 u T m F t Z X M i I F Z h b H V l P S J z W y Z x d W 9 0 O 0 N v b H V t b j E m c X V v d D s s J n F 1 b 3 Q 7 Q c O p c m 9 w b 3 J 0 c 1 x u c G F y I G 1 p b G x p b 2 5 c b m R l I H R v d X J p c 3 R l c y Z x d W 9 0 O y w m c X V v d D t B w 6 l y b 3 B v c n R z X G 5 w Y X I g b W l s b G l v b l x u Z F x 1 M D A y N 2 h h Y m l 0 Y W 5 0 J n F 1 b 3 Q 7 L C Z x d W 9 0 O 0 H D q X J v c G 9 y d H N c b m l u d G V y b c O p Z G l h a X J l c 1 x u c G F y I G 1 p b G x p b 2 4 g Z F x 1 M D A y N 2 h h Y m l 0 Y W 5 0 c 1 x u K G V u d H J l I D E w I D A w M C B l d C A z I E 0 g Z G V c b n B h e C k m c X V v d D t d I i 8 + P E V u d H J 5 I F R 5 c G U 9 I k Z p b G x l Z E N v b X B s Z X R l U m V z d W x 0 V G 9 X b 3 J r c 2 h l Z X Q i I F Z h b H V l P S J s M C I v P j x F b n R y e S B U e X B l P S J G a W x s U 3 R h d H V z I i B W Y W x 1 Z T 0 i c 0 N v b X B s Z X R l I i 8 + P E V u d H J 5 I F R 5 c G U 9 I k Z p b G x U b 0 R h d G F N b 2 R l b E V u Y W J s Z W Q i I F Z h b H V l P S J s M S I v P j x F b n R y e S B U e X B l P S J J c 1 B y a X Z h d G U i I F Z h b H V l P S J s M C I v P j x F b n R y e S B U e X B l P S J R d W V y e U l E I i B W Y W x 1 Z T 0 i c z I 1 M m M 2 M j Y 1 L W V i Z T Q t N D M x Z C 1 i N m F i L W J j O T I 2 O T g y Y j E w Z i I v P j x F b n R y e S B U e X B l P S J S Z W x h d G l v b n N o a X B J b m Z v Q 2 9 u d G F p b m V y I i B W Y W x 1 Z T 0 i c 3 s m c X V v d D t j b 2 x 1 b W 5 D b 3 V u d C Z x d W 9 0 O z o 0 L C Z x d W 9 0 O 2 t l e U N v b H V t b k 5 h b W V z J n F 1 b 3 Q 7 O l t d L C Z x d W 9 0 O 3 F 1 Z X J 5 U m V s Y X R p b 2 5 z a G l w c y Z x d W 9 0 O z p b X S w m c X V v d D t j b 2 x 1 b W 5 J Z G V u d G l 0 a W V z J n F 1 b 3 Q 7 O l s m c X V v d D t T Z W N 0 a W 9 u M S 9 U Y W J s Z T A 3 N S A o U G F n Z S A 5 M i k v V H l w Z S B t b 2 R p Z m n D q S 5 7 L D B 9 J n F 1 b 3 Q 7 L C Z x d W 9 0 O 1 N l Y 3 R p b 2 4 x L 1 R h Y m x l M D c 1 I C h Q Y W d l I D k y K S 9 U e X B l I G 1 v Z G l m a c O p L n t B w 6 l y b 3 B v c n R z X G 5 w Y X I g b W l s b G l v b l x u Z G U g d G 9 1 c m l z d G V z L D F 9 J n F 1 b 3 Q 7 L C Z x d W 9 0 O 1 N l Y 3 R p b 2 4 x L 1 R h Y m x l M D c 1 I C h Q Y W d l I D k y K S 9 U e X B l I G 1 v Z G l m a c O p L n t B w 6 l y b 3 B v c n R z X G 5 w Y X I g b W l s b G l v b l x u Z F x 1 M D A y N 2 h h Y m l 0 Y W 5 0 L D J 9 J n F 1 b 3 Q 7 L C Z x d W 9 0 O 1 N l Y 3 R p b 2 4 x L 1 R h Y m x l M D c 1 I C h Q Y W d l I D k y K S 9 U e X B l I G 1 v Z G l m a c O p L n t B w 6 l y b 3 B v c n R z X G 5 p b n R l c m 3 D q W R p Y W l y Z X N c b n B h c i B t a W x s a W 9 u I G R c d T A w M j d o Y W J p d G F u d H N c b i h l b n R y Z S A x M C A w M D A g Z X Q g M y B N I G R l X G 5 w Y X g p L D N 9 J n F 1 b 3 Q 7 X S w m c X V v d D t D b 2 x 1 b W 5 D b 3 V u d C Z x d W 9 0 O z o 0 L C Z x d W 9 0 O 0 t l e U N v b H V t b k 5 h b W V z J n F 1 b 3 Q 7 O l t d L C Z x d W 9 0 O 0 N v b H V t b k l k Z W 5 0 a X R p Z X M m c X V v d D s 6 W y Z x d W 9 0 O 1 N l Y 3 R p b 2 4 x L 1 R h Y m x l M D c 1 I C h Q Y W d l I D k y K S 9 U e X B l I G 1 v Z G l m a c O p L n s s M H 0 m c X V v d D s s J n F 1 b 3 Q 7 U 2 V j d G l v b j E v V G F i b G U w N z U g K F B h Z 2 U g O T I p L 1 R 5 c G U g b W 9 k a W Z p w 6 k u e 0 H D q X J v c G 9 y d H N c b n B h c i B t a W x s a W 9 u X G 5 k Z S B 0 b 3 V y a X N 0 Z X M s M X 0 m c X V v d D s s J n F 1 b 3 Q 7 U 2 V j d G l v b j E v V G F i b G U w N z U g K F B h Z 2 U g O T I p L 1 R 5 c G U g b W 9 k a W Z p w 6 k u e 0 H D q X J v c G 9 y d H N c b n B h c i B t a W x s a W 9 u X G 5 k X H U w M D I 3 a G F i a X R h b n Q s M n 0 m c X V v d D s s J n F 1 b 3 Q 7 U 2 V j d G l v b j E v V G F i b G U w N z U g K F B h Z 2 U g O T I p L 1 R 5 c G U g b W 9 k a W Z p w 6 k u e 0 H D q X J v c G 9 y d H N c b m l u d G V y b c O p Z G l h a X J l c 1 x u c G F y I G 1 p b G x p b 2 4 g Z F x 1 M D A y N 2 h h Y m l 0 Y W 5 0 c 1 x u K G V u d H J l I D E w I D A w M C B l d C A z I E 0 g Z G V c b n B h e C k s M 3 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j Q 4 J T I w K F B h Z 2 U l M j A y N z Y p P C 9 J d G V t U G F 0 a D 4 8 L 0 l 0 Z W 1 M b 2 N h d G l v b j 4 8 U 3 R h Y m x l R W 5 0 c m l l c z 4 8 R W 5 0 c n k g V H l w Z T 0 i Q W R k Z W R U b 0 R h d G F N b 2 R l b C I g V m F s d W U 9 I m w w I i 8 + P E V u d H J 5 I F R 5 c G U 9 I k J 1 Z m Z l c k 5 l e H R S Z W Z y Z X N o I i B W Y W x 1 Z T 0 i b D E i L z 4 8 R W 5 0 c n k g V H l w Z T 0 i R m l s b E N v d W 5 0 I i B W Y W x 1 Z T 0 i b D U i L z 4 8 R W 5 0 c n k g V H l w Z T 0 i R m l s b E V u Y W J s Z W Q i I F Z h b H V l P S J s M C I v P j x F b n R y e S B U e X B l P S J G a W x s R X J y b 3 J D b 2 R l I i B W Y W x 1 Z T 0 i c 1 V u a 2 5 v d 2 4 i L z 4 8 R W 5 0 c n k g V H l w Z T 0 i R m l s b E V y c m 9 y Q 2 9 1 b n Q i I F Z h b H V l P S J s M C I v P j x F b n R y e S B U e X B l P S J G a W x s T G F z d F V w Z G F 0 Z W Q i I F Z h b H V l P S J k M j A y N S 0 w M i 0 w N F Q x N D o w O D o x M S 4 5 N z M 2 M D I 0 W i I v P j x F b n R y e S B U e X B l P S J G a W x s Q 2 9 s d W 1 u V H l w Z X M i I F Z h b H V l P S J z Q m d N R 0 J n P T 0 i L z 4 8 R W 5 0 c n k g V H l w Z T 0 i R m l s b E N v b H V t b k 5 h b W V z I i B W Y W x 1 Z T 0 i c 1 s m c X V v d D t D b 2 x s Z W N 0 a X Z p d M O p J n F 1 b 3 Q 7 L C Z x d W 9 0 O 0 T D q X B l b n N l c y B k 4 o C Z a W 5 2 Z X N 0 a X N z Z W 1 l b n Q g K E 3 i g q w p J n F 1 b 3 Q 7 L C Z x d W 9 0 O 1 N 1 c m Z h Y 2 V z I C h N b c K y K S Z x d W 9 0 O y w m c X V v d D t E w 6 l w Z W 5 z Z X M g Z W 4 g 4 o K s L 2 3 C s 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D Y 2 M D d k O W M t Y m R k O C 0 0 N 2 V l L T k x Z D g t M m U 2 M W M w M j R i O G V h I i 8 + P E V u d H J 5 I F R 5 c G U 9 I l J l b G F 0 a W 9 u c 2 h p c E l u Z m 9 D b 2 5 0 Y W l u Z X I i I F Z h b H V l P S J z e y Z x d W 9 0 O 2 N v b H V t b k N v d W 5 0 J n F 1 b 3 Q 7 O j Q s J n F 1 b 3 Q 7 a 2 V 5 Q 2 9 s d W 1 u T m F t Z X M m c X V v d D s 6 W 1 0 s J n F 1 b 3 Q 7 c X V l c n l S Z W x h d G l v b n N o a X B z J n F 1 b 3 Q 7 O l t d L C Z x d W 9 0 O 2 N v b H V t b k l k Z W 5 0 a X R p Z X M m c X V v d D s 6 W y Z x d W 9 0 O 1 N l Y 3 R p b 2 4 x L 1 R h Y m x l M j Q 4 I C h Q Y W d l I D I 3 N i k v Q X V 0 b 1 J l b W 9 2 Z W R D b 2 x 1 b W 5 z M S 5 7 Q 2 9 s b G V j d G l 2 a X T D q S w w f S Z x d W 9 0 O y w m c X V v d D t T Z W N 0 a W 9 u M S 9 U Y W J s Z T I 0 O C A o U G F n Z S A y N z Y p L 0 F 1 d G 9 S Z W 1 v d m V k Q 2 9 s d W 1 u c z E u e 0 T D q X B l b n N l c y B k 4 o C Z a W 5 2 Z X N 0 a X N z Z W 1 l b n Q g K E 3 i g q w p L D F 9 J n F 1 b 3 Q 7 L C Z x d W 9 0 O 1 N l Y 3 R p b 2 4 x L 1 R h Y m x l M j Q 4 I C h Q Y W d l I D I 3 N i k v Q X V 0 b 1 J l b W 9 2 Z W R D b 2 x 1 b W 5 z M S 5 7 U 3 V y Z m F j Z X M g K E 1 t w r I p L D J 9 J n F 1 b 3 Q 7 L C Z x d W 9 0 O 1 N l Y 3 R p b 2 4 x L 1 R h Y m x l M j Q 4 I C h Q Y W d l I D I 3 N i k v Q X V 0 b 1 J l b W 9 2 Z W R D b 2 x 1 b W 5 z M S 5 7 R M O p c G V u c 2 V z I G V u I O K C r C 9 t w r I s M 3 0 m c X V v d D t d L C Z x d W 9 0 O 0 N v b H V t b k N v d W 5 0 J n F 1 b 3 Q 7 O j Q s J n F 1 b 3 Q 7 S 2 V 5 Q 2 9 s d W 1 u T m F t Z X M m c X V v d D s 6 W 1 0 s J n F 1 b 3 Q 7 Q 2 9 s d W 1 u S W R l b n R p d G l l c y Z x d W 9 0 O z p b J n F 1 b 3 Q 7 U 2 V j d G l v b j E v V G F i b G U y N D g g K F B h Z 2 U g M j c 2 K S 9 B d X R v U m V t b 3 Z l Z E N v b H V t b n M x L n t D b 2 x s Z W N 0 a X Z p d M O p L D B 9 J n F 1 b 3 Q 7 L C Z x d W 9 0 O 1 N l Y 3 R p b 2 4 x L 1 R h Y m x l M j Q 4 I C h Q Y W d l I D I 3 N i k v Q X V 0 b 1 J l b W 9 2 Z W R D b 2 x 1 b W 5 z M S 5 7 R M O p c G V u c 2 V z I G T i g J l p b n Z l c 3 R p c 3 N l b W V u d C A o T e K C r C k s M X 0 m c X V v d D s s J n F 1 b 3 Q 7 U 2 V j d G l v b j E v V G F i b G U y N D g g K F B h Z 2 U g M j c 2 K S 9 B d X R v U m V t b 3 Z l Z E N v b H V t b n M x L n t T d X J m Y W N l c y A o T W 3 C s i k s M n 0 m c X V v d D s s J n F 1 b 3 Q 7 U 2 V j d G l v b j E v V G F i b G U y N D g g K F B h Z 2 U g M j c 2 K S 9 B d X R v U m V t b 3 Z l Z E N v b H V t b n M x L n t E w 6 l w Z W 5 z Z X M g Z W 4 g 4 o K s L 2 3 C s i w z 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y N D g l M j A o U G F n Z S U y M D I 3 N i k l M j A o M i 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y L T A 0 V D E 0 O j A 4 O j E x L j k 3 M z Y w M j R a I i 8 + P E V u d H J 5 I F R 5 c G U 9 I k Z p b G x D b 2 x 1 b W 5 U e X B l c y I g V m F s d W U 9 I n N C Z 0 1 H Q m c 9 P S I v P j x F b n R y e S B U e X B l P S J G a W x s Q 2 9 s d W 1 u T m F t Z X M i I F Z h b H V l P S J z W y Z x d W 9 0 O 0 N v b G x l Y 3 R p d m l 0 w 6 k m c X V v d D s s J n F 1 b 3 Q 7 R M O p c G V u c 2 V z I G T i g J l p b n Z l c 3 R p c 3 N l b W V u d C A o T e K C r C k m c X V v d D s s J n F 1 b 3 Q 7 U 3 V y Z m F j Z X M g K E 1 t w r I p J n F 1 b 3 Q 7 L C Z x d W 9 0 O 0 T D q X B l b n N l c y B l b i D i g q w v b c K 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3 N D h l N D k 4 N C 0 5 Z j F j L T Q 5 O D Y t Y T A y Z i 0 5 Y z I z M G I w N j Q 1 O D U i L z 4 8 R W 5 0 c n k g V H l w Z T 0 i U m V s Y X R p b 2 5 z a G l w S W 5 m b 0 N v b n R h a W 5 l c i I g V m F s d W U 9 I n N 7 J n F 1 b 3 Q 7 Y 2 9 s d W 1 u Q 2 9 1 b n Q m c X V v d D s 6 N C w m c X V v d D t r Z X l D b 2 x 1 b W 5 O Y W 1 l c y Z x d W 9 0 O z p b X S w m c X V v d D t x d W V y e V J l b G F 0 a W 9 u c 2 h p c H M m c X V v d D s 6 W 1 0 s J n F 1 b 3 Q 7 Y 2 9 s d W 1 u S W R l b n R p d G l l c y Z x d W 9 0 O z p b J n F 1 b 3 Q 7 U 2 V j d G l v b j E v V G F i b G U y N D g g K F B h Z 2 U g M j c 2 K S 9 B d X R v U m V t b 3 Z l Z E N v b H V t b n M x L n t D b 2 x s Z W N 0 a X Z p d M O p L D B 9 J n F 1 b 3 Q 7 L C Z x d W 9 0 O 1 N l Y 3 R p b 2 4 x L 1 R h Y m x l M j Q 4 I C h Q Y W d l I D I 3 N i k v Q X V 0 b 1 J l b W 9 2 Z W R D b 2 x 1 b W 5 z M S 5 7 R M O p c G V u c 2 V z I G T i g J l p b n Z l c 3 R p c 3 N l b W V u d C A o T e K C r C k s M X 0 m c X V v d D s s J n F 1 b 3 Q 7 U 2 V j d G l v b j E v V G F i b G U y N D g g K F B h Z 2 U g M j c 2 K S 9 B d X R v U m V t b 3 Z l Z E N v b H V t b n M x L n t T d X J m Y W N l c y A o T W 3 C s i k s M n 0 m c X V v d D s s J n F 1 b 3 Q 7 U 2 V j d G l v b j E v V G F i b G U y N D g g K F B h Z 2 U g M j c 2 K S 9 B d X R v U m V t b 3 Z l Z E N v b H V t b n M x L n t E w 6 l w Z W 5 z Z X M g Z W 4 g 4 o K s L 2 3 C s i w z f S Z x d W 9 0 O 1 0 s J n F 1 b 3 Q 7 Q 2 9 s d W 1 u Q 2 9 1 b n Q m c X V v d D s 6 N C w m c X V v d D t L Z X l D b 2 x 1 b W 5 O Y W 1 l c y Z x d W 9 0 O z p b X S w m c X V v d D t D b 2 x 1 b W 5 J Z G V u d G l 0 a W V z J n F 1 b 3 Q 7 O l s m c X V v d D t T Z W N 0 a W 9 u M S 9 U Y W J s Z T I 0 O C A o U G F n Z S A y N z Y p L 0 F 1 d G 9 S Z W 1 v d m V k Q 2 9 s d W 1 u c z E u e 0 N v b G x l Y 3 R p d m l 0 w 6 k s M H 0 m c X V v d D s s J n F 1 b 3 Q 7 U 2 V j d G l v b j E v V G F i b G U y N D g g K F B h Z 2 U g M j c 2 K S 9 B d X R v U m V t b 3 Z l Z E N v b H V t b n M x L n t E w 6 l w Z W 5 z Z X M g Z O K A m W l u d m V z d G l z c 2 V t Z W 5 0 I C h N 4 o K s K S w x f S Z x d W 9 0 O y w m c X V v d D t T Z W N 0 a W 9 u M S 9 U Y W J s Z T I 0 O C A o U G F n Z S A y N z Y p L 0 F 1 d G 9 S Z W 1 v d m V k Q 2 9 s d W 1 u c z E u e 1 N 1 c m Z h Y 2 V z I C h N b c K y K S w y f S Z x d W 9 0 O y w m c X V v d D t T Z W N 0 a W 9 u M S 9 U Y W J s Z T I 0 O C A o U G F n Z S A y N z Y p L 0 F 1 d G 9 S Z W 1 v d m V k Q 2 9 s d W 1 u c z E u e 0 T D q X B l b n N l c y B l b i D i g q w v b c K y L D N 9 J n F 1 b 3 Q 7 X S w m c X V v d D t S Z W x h d G l v b n N o a X B J b m Z v J n F 1 b 3 Q 7 O l t d f S I v P j x F b n R y e S B U e X B l P S J S Z X N 1 b H R U e X B l I i B W Y W x 1 Z T 0 i c 1 R h Y m x l I i 8 + P E V u d H J 5 I F R 5 c G U 9 I k Z p b G x P Y m p l Y 3 R U e X B l I i B W Y W x 1 Z T 0 i c 0 N v b m 5 l Y 3 R p b 2 5 P b m x 5 I i 8 + P E V u d H J 5 I F R 5 c G U 9 I k x v Y W R l Z F R v Q W 5 h b H l z a X N T Z X J 2 a W N l c y I g V m F s d W U 9 I m w w I i 8 + P C 9 T d G F i b G V F b n R y a W V z P j w v S X R l b T 4 8 S X R l b T 4 8 S X R l b U x v Y 2 F 0 a W 9 u P j x J d G V t V H l w Z T 5 G b 3 J t d W x h P C 9 J d G V t V H l w Z T 4 8 S X R l b V B h d G g + U 2 V j d G l v b j E v V G F i b G U w O T g l M j A o U G F n Z S U y M D E 0 M y k v U 2 9 1 c m N l P C 9 J d G V t U G F 0 a D 4 8 L 0 l 0 Z W 1 M b 2 N h d G l v b j 4 8 U 3 R h Y m x l R W 5 0 c m l l c y 8 + P C 9 J d G V t P j x J d G V t P j x J d G V t T G 9 j Y X R p b 2 4 + P E l 0 Z W 1 U e X B l P k Z v c m 1 1 b G E 8 L 0 l 0 Z W 1 U e X B l P j x J d G V t U G F 0 a D 5 T Z W N 0 a W 9 u M S 9 U Y W J s Z T A 5 O C U y M C h Q Y W d l J T I w M T Q z K S 9 U Y W J s Z T A 5 O D w v S X R l b V B h d G g + P C 9 J d G V t T G 9 j Y X R p b 2 4 + P F N 0 Y W J s Z U V u d H J p Z X M v P j w v S X R l b T 4 8 S X R l b T 4 8 S X R l b U x v Y 2 F 0 a W 9 u P j x J d G V t V H l w Z T 5 G b 3 J t d W x h P C 9 J d G V t V H l w Z T 4 8 S X R l b V B h d G g + U 2 V j d G l v b j E v V G F i b G U w O T g l M j A o U G F n Z S U y M D E 0 M y k v R W 4 t d C V D M y V B Q X R l c y U y M H B y b 2 1 1 c z w v S X R l b V B h d G g + P C 9 J d G V t T G 9 j Y X R p b 2 4 + P F N 0 Y W J s Z U V u d H J p Z X M v P j w v S X R l b T 4 8 S X R l b T 4 8 S X R l b U x v Y 2 F 0 a W 9 u P j x J d G V t V H l w Z T 5 G b 3 J t d W x h P C 9 J d G V t V H l w Z T 4 8 S X R l b V B h d G g + U 2 V j d G l v b j E v V G F i b G U w O T g l M j A o U G F n Z S U y M D E 0 M y k v V H l w Z S U y M G 1 v Z G l m a S V D M y V B O T w v S X R l b V B h d G g + P C 9 J d G V t T G 9 j Y X R p b 2 4 + P F N 0 Y W J s Z U V u d H J p Z X M v P j w v S X R l b T 4 8 S X R l b T 4 8 S X R l b U x v Y 2 F 0 a W 9 u P j x J d G V t V H l w Z T 5 G b 3 J t d W x h P C 9 J d G V t V H l w Z T 4 8 S X R l b V B h d G g + U 2 V j d G l v b j E v V G F i b G U w O T k l M j A o U G F n Z S U y M D E 0 N C k v U 2 9 1 c m N l P C 9 J d G V t U G F 0 a D 4 8 L 0 l 0 Z W 1 M b 2 N h d G l v b j 4 8 U 3 R h Y m x l R W 5 0 c m l l c y 8 + P C 9 J d G V t P j x J d G V t P j x J d G V t T G 9 j Y X R p b 2 4 + P E l 0 Z W 1 U e X B l P k Z v c m 1 1 b G E 8 L 0 l 0 Z W 1 U e X B l P j x J d G V t U G F 0 a D 5 T Z W N 0 a W 9 u M S 9 U Y W J s Z T A 5 O S U y M C h Q Y W d l J T I w M T Q 0 K S 9 U Y W J s Z T A 5 O T w v S X R l b V B h d G g + P C 9 J d G V t T G 9 j Y X R p b 2 4 + P F N 0 Y W J s Z U V u d H J p Z X M v P j w v S X R l b T 4 8 S X R l b T 4 8 S X R l b U x v Y 2 F 0 a W 9 u P j x J d G V t V H l w Z T 5 G b 3 J t d W x h P C 9 J d G V t V H l w Z T 4 8 S X R l b V B h d G g + U 2 V j d G l v b j E v V G F i b G U w O T k l M j A o U G F n Z S U y M D E 0 N C k v V H l w Z S U y M G 1 v Z G l m a S V D M y V B O T w v S X R l b V B h d G g + P C 9 J d G V t T G 9 j Y X R p b 2 4 + P F N 0 Y W J s Z U V u d H J p Z X M v P j w v S X R l b T 4 8 S X R l b T 4 8 S X R l b U x v Y 2 F 0 a W 9 u P j x J d G V t V H l w Z T 5 G b 3 J t d W x h P C 9 J d G V t V H l w Z T 4 8 S X R l b V B h d G g + U 2 V j d G l v b j E v V G F i b G U w O D Q l M j A o U G F n Z S U y M D E x O S k v U 2 9 1 c m N l P C 9 J d G V t U G F 0 a D 4 8 L 0 l 0 Z W 1 M b 2 N h d G l v b j 4 8 U 3 R h Y m x l R W 5 0 c m l l c y 8 + P C 9 J d G V t P j x J d G V t P j x J d G V t T G 9 j Y X R p b 2 4 + P E l 0 Z W 1 U e X B l P k Z v c m 1 1 b G E 8 L 0 l 0 Z W 1 U e X B l P j x J d G V t U G F 0 a D 5 T Z W N 0 a W 9 u M S 9 U Y W J s Z T A 4 N C U y M C h Q Y W d l J T I w M T E 5 K S 9 U Y W J s Z T A 4 N D w v S X R l b V B h d G g + P C 9 J d G V t T G 9 j Y X R p b 2 4 + P F N 0 Y W J s Z U V u d H J p Z X M v P j w v S X R l b T 4 8 S X R l b T 4 8 S X R l b U x v Y 2 F 0 a W 9 u P j x J d G V t V H l w Z T 5 G b 3 J t d W x h P C 9 J d G V t V H l w Z T 4 8 S X R l b V B h d G g + U 2 V j d G l v b j E v V G F i b G U w O D Q l M j A o U G F n Z S U y M D E x O S k v R W 4 t d C V D M y V B Q X R l c y U y M H B y b 2 1 1 c z w v S X R l b V B h d G g + P C 9 J d G V t T G 9 j Y X R p b 2 4 + P F N 0 Y W J s Z U V u d H J p Z X M v P j w v S X R l b T 4 8 S X R l b T 4 8 S X R l b U x v Y 2 F 0 a W 9 u P j x J d G V t V H l w Z T 5 G b 3 J t d W x h P C 9 J d G V t V H l w Z T 4 8 S X R l b V B h d G g + U 2 V j d G l v b j E v V G F i b G U w O D Q l M j A o U G F n Z S U y M D E x O S k v V H l w Z S U y M G 1 v Z G l m a S V D M y V B O T w v S X R l b V B h d G g + P C 9 J d G V t T G 9 j Y X R p b 2 4 + P F N 0 Y W J s Z U V u d H J p Z X M v P j w v S X R l b T 4 8 S X R l b T 4 8 S X R l b U x v Y 2 F 0 a W 9 u P j x J d G V t V H l w Z T 5 G b 3 J t d W x h P C 9 J d G V t V H l w Z T 4 8 S X R l b V B h d G g + U 2 V j d G l v b j E v V G F i b G U w O D U l M j A o U G F n Z S U y M D E y M C k v U 2 9 1 c m N l P C 9 J d G V t U G F 0 a D 4 8 L 0 l 0 Z W 1 M b 2 N h d G l v b j 4 8 U 3 R h Y m x l R W 5 0 c m l l c y 8 + P C 9 J d G V t P j x J d G V t P j x J d G V t T G 9 j Y X R p b 2 4 + P E l 0 Z W 1 U e X B l P k Z v c m 1 1 b G E 8 L 0 l 0 Z W 1 U e X B l P j x J d G V t U G F 0 a D 5 T Z W N 0 a W 9 u M S 9 U Y W J s Z T A 4 N S U y M C h Q Y W d l J T I w M T I w K S 9 U Y W J s Z T A 4 N T w v S X R l b V B h d G g + P C 9 J d G V t T G 9 j Y X R p b 2 4 + P F N 0 Y W J s Z U V u d H J p Z X M v P j w v S X R l b T 4 8 S X R l b T 4 8 S X R l b U x v Y 2 F 0 a W 9 u P j x J d G V t V H l w Z T 5 G b 3 J t d W x h P C 9 J d G V t V H l w Z T 4 8 S X R l b V B h d G g + U 2 V j d G l v b j E v V G F i b G U w O D U l M j A o U G F n Z S U y M D E y M C k v R W 4 t d C V D M y V B Q X R l c y U y M H B y b 2 1 1 c z w v S X R l b V B h d G g + P C 9 J d G V t T G 9 j Y X R p b 2 4 + P F N 0 Y W J s Z U V u d H J p Z X M v P j w v S X R l b T 4 8 S X R l b T 4 8 S X R l b U x v Y 2 F 0 a W 9 u P j x J d G V t V H l w Z T 5 G b 3 J t d W x h P C 9 J d G V t V H l w Z T 4 8 S X R l b V B h d G g + U 2 V j d G l v b j E v V G F i b G U w O D U l M j A o U G F n Z S U y M D E y M C k v V H l w Z S U y M G 1 v Z G l m a S V D M y V B O T w v S X R l b V B h d G g + P C 9 J d G V t T G 9 j Y X R p b 2 4 + P F N 0 Y W J s Z U V u d H J p Z X M v P j w v S X R l b T 4 8 S X R l b T 4 8 S X R l b U x v Y 2 F 0 a W 9 u P j x J d G V t V H l w Z T 5 G b 3 J t d W x h P C 9 J d G V t V H l w Z T 4 8 S X R l b V B h d G g + U 2 V j d G l v b j E v V G F i b G U w O D Y l M j A o U G F n Z S U y M D E y M S k v U 2 9 1 c m N l P C 9 J d G V t U G F 0 a D 4 8 L 0 l 0 Z W 1 M b 2 N h d G l v b j 4 8 U 3 R h Y m x l R W 5 0 c m l l c y 8 + P C 9 J d G V t P j x J d G V t P j x J d G V t T G 9 j Y X R p b 2 4 + P E l 0 Z W 1 U e X B l P k Z v c m 1 1 b G E 8 L 0 l 0 Z W 1 U e X B l P j x J d G V t U G F 0 a D 5 T Z W N 0 a W 9 u M S 9 U Y W J s Z T A 4 N i U y M C h Q Y W d l J T I w M T I x K S 9 U Y W J s Z T A 4 N j w v S X R l b V B h d G g + P C 9 J d G V t T G 9 j Y X R p b 2 4 + P F N 0 Y W J s Z U V u d H J p Z X M v P j w v S X R l b T 4 8 S X R l b T 4 8 S X R l b U x v Y 2 F 0 a W 9 u P j x J d G V t V H l w Z T 5 G b 3 J t d W x h P C 9 J d G V t V H l w Z T 4 8 S X R l b V B h d G g + U 2 V j d G l v b j E v V G F i b G U w O D Y l M j A o U G F n Z S U y M D E y M S k v R W 4 t d C V D M y V B Q X R l c y U y M H B y b 2 1 1 c z w v S X R l b V B h d G g + P C 9 J d G V t T G 9 j Y X R p b 2 4 + P F N 0 Y W J s Z U V u d H J p Z X M v P j w v S X R l b T 4 8 S X R l b T 4 8 S X R l b U x v Y 2 F 0 a W 9 u P j x J d G V t V H l w Z T 5 G b 3 J t d W x h P C 9 J d G V t V H l w Z T 4 8 S X R l b V B h d G g + U 2 V j d G l v b j E v V G F i b G U w O D Y l M j A o U G F n Z S U y M D E y M S k v V H l w Z S U y M G 1 v Z G l m a S V D M y V B O T w v S X R l b V B h d G g + P C 9 J d G V t T G 9 j Y X R p b 2 4 + P F N 0 Y W J s Z U V u d H J p Z X M v P j w v S X R l b T 4 8 S X R l b T 4 8 S X R l b U x v Y 2 F 0 a W 9 u P j x J d G V t V H l w Z T 5 G b 3 J t d W x h P C 9 J d G V t V H l w Z T 4 8 S X R l b V B h d G g + U 2 V j d G l v b j E v V G F i b G U w N z Q l M j A o U G F n Z S U y M D k x K S 9 T b 3 V y Y 2 U 8 L 0 l 0 Z W 1 Q Y X R o P j w v S X R l b U x v Y 2 F 0 a W 9 u P j x T d G F i b G V F b n R y a W V z L z 4 8 L 0 l 0 Z W 0 + P E l 0 Z W 0 + P E l 0 Z W 1 M b 2 N h d G l v b j 4 8 S X R l b V R 5 c G U + R m 9 y b X V s Y T w v S X R l b V R 5 c G U + P E l 0 Z W 1 Q Y X R o P l N l Y 3 R p b 2 4 x L 1 R h Y m x l M D c 0 J T I w K F B h Z 2 U l M j A 5 M S k v V G F i b G U w N z Q 8 L 0 l 0 Z W 1 Q Y X R o P j w v S X R l b U x v Y 2 F 0 a W 9 u P j x T d G F i b G V F b n R y a W V z L z 4 8 L 0 l 0 Z W 0 + P E l 0 Z W 0 + P E l 0 Z W 1 M b 2 N h d G l v b j 4 8 S X R l b V R 5 c G U + R m 9 y b X V s Y T w v S X R l b V R 5 c G U + P E l 0 Z W 1 Q Y X R o P l N l Y 3 R p b 2 4 x L 1 R h Y m x l M D c 0 J T I w K F B h Z 2 U l M j A 5 M S k v R W 4 t d C V D M y V B Q X R l c y U y M H B y b 2 1 1 c z w v S X R l b V B h d G g + P C 9 J d G V t T G 9 j Y X R p b 2 4 + P F N 0 Y W J s Z U V u d H J p Z X M v P j w v S X R l b T 4 8 S X R l b T 4 8 S X R l b U x v Y 2 F 0 a W 9 u P j x J d G V t V H l w Z T 5 G b 3 J t d W x h P C 9 J d G V t V H l w Z T 4 8 S X R l b V B h d G g + U 2 V j d G l v b j E v V G F i b G U w N z Q l M j A o U G F n Z S U y M D k x K S 9 U e X B l J T I w b W 9 k a W Z p J U M z J U E 5 P C 9 J d G V t U G F 0 a D 4 8 L 0 l 0 Z W 1 M b 2 N h d G l v b j 4 8 U 3 R h Y m x l R W 5 0 c m l l c y 8 + P C 9 J d G V t P j x J d G V t P j x J d G V t T G 9 j Y X R p b 2 4 + P E l 0 Z W 1 U e X B l P k Z v c m 1 1 b G E 8 L 0 l 0 Z W 1 U e X B l P j x J d G V t U G F 0 a D 5 T Z W N 0 a W 9 u M S 9 U Y W J s Z T A 3 M y U y M C h Q Y W d l J T I w O T E p L 1 N v d X J j Z T w v S X R l b V B h d G g + P C 9 J d G V t T G 9 j Y X R p b 2 4 + P F N 0 Y W J s Z U V u d H J p Z X M v P j w v S X R l b T 4 8 S X R l b T 4 8 S X R l b U x v Y 2 F 0 a W 9 u P j x J d G V t V H l w Z T 5 G b 3 J t d W x h P C 9 J d G V t V H l w Z T 4 8 S X R l b V B h d G g + U 2 V j d G l v b j E v V G F i b G U w N z M l M j A o U G F n Z S U y M D k x K S 9 U Y W J s Z T A 3 M z w v S X R l b V B h d G g + P C 9 J d G V t T G 9 j Y X R p b 2 4 + P F N 0 Y W J s Z U V u d H J p Z X M v P j w v S X R l b T 4 8 S X R l b T 4 8 S X R l b U x v Y 2 F 0 a W 9 u P j x J d G V t V H l w Z T 5 G b 3 J t d W x h P C 9 J d G V t V H l w Z T 4 8 S X R l b V B h d G g + U 2 V j d G l v b j E v V G F i b G U w N z U l M j A o U G F n Z S U y M D k y K S 9 T b 3 V y Y 2 U 8 L 0 l 0 Z W 1 Q Y X R o P j w v S X R l b U x v Y 2 F 0 a W 9 u P j x T d G F i b G V F b n R y a W V z L z 4 8 L 0 l 0 Z W 0 + P E l 0 Z W 0 + P E l 0 Z W 1 M b 2 N h d G l v b j 4 8 S X R l b V R 5 c G U + R m 9 y b X V s Y T w v S X R l b V R 5 c G U + P E l 0 Z W 1 Q Y X R o P l N l Y 3 R p b 2 4 x L 1 R h Y m x l M D c 1 J T I w K F B h Z 2 U l M j A 5 M i k v V G F i b G U w N z U 8 L 0 l 0 Z W 1 Q Y X R o P j w v S X R l b U x v Y 2 F 0 a W 9 u P j x T d G F i b G V F b n R y a W V z L z 4 8 L 0 l 0 Z W 0 + P E l 0 Z W 0 + P E l 0 Z W 1 M b 2 N h d G l v b j 4 8 S X R l b V R 5 c G U + R m 9 y b X V s Y T w v S X R l b V R 5 c G U + P E l 0 Z W 1 Q Y X R o P l N l Y 3 R p b 2 4 x L 1 R h Y m x l M D c 1 J T I w K F B h Z 2 U l M j A 5 M i k v R W 4 t d C V D M y V B Q X R l c y U y M H B y b 2 1 1 c z w v S X R l b V B h d G g + P C 9 J d G V t T G 9 j Y X R p b 2 4 + P F N 0 Y W J s Z U V u d H J p Z X M v P j w v S X R l b T 4 8 S X R l b T 4 8 S X R l b U x v Y 2 F 0 a W 9 u P j x J d G V t V H l w Z T 5 G b 3 J t d W x h P C 9 J d G V t V H l w Z T 4 8 S X R l b V B h d G g + U 2 V j d G l v b j E v V G F i b G U w N z U l M j A o U G F n Z S U y M D k y K S 9 U e X B l J T I w b W 9 k a W Z p J U M z J U E 5 P C 9 J d G V t U G F 0 a D 4 8 L 0 l 0 Z W 1 M b 2 N h d G l v b j 4 8 U 3 R h Y m x l R W 5 0 c m l l c y 8 + P C 9 J d G V t P j x J d G V t P j x J d G V t T G 9 j Y X R p b 2 4 + P E l 0 Z W 1 U e X B l P k Z v c m 1 1 b G E 8 L 0 l 0 Z W 1 U e X B l P j x J d G V t U G F 0 a D 5 T Z W N 0 a W 9 u M S 9 U Y W J s Z T A 3 M y U y M C h Q Y W d l J T I w O T E p L 0 V u L X Q l Q z M l Q U F 0 Z X M l M j B w c m 9 t d X M 8 L 0 l 0 Z W 1 Q Y X R o P j w v S X R l b U x v Y 2 F 0 a W 9 u P j x T d G F i b G V F b n R y a W V z L z 4 8 L 0 l 0 Z W 0 + P E l 0 Z W 0 + P E l 0 Z W 1 M b 2 N h d G l v b j 4 8 S X R l b V R 5 c G U + R m 9 y b X V s Y T w v S X R l b V R 5 c G U + P E l 0 Z W 1 Q Y X R o P l N l Y 3 R p b 2 4 x L 1 R h Y m x l M D c z J T I w K F B h Z 2 U l M j A 5 M S k v V H l w Z S U y M G 1 v Z G l m a S V D M y V B O T w v S X R l b V B h d G g + P C 9 J d G V t T G 9 j Y X R p b 2 4 + P F N 0 Y W J s Z U V u d H J p Z X M v P j w v S X R l b T 4 8 S X R l b T 4 8 S X R l b U x v Y 2 F 0 a W 9 u P j x J d G V t V H l w Z T 5 G b 3 J t d W x h P C 9 J d G V t V H l w Z T 4 8 S X R l b V B h d G g + U 2 V j d G l v b j E v V G F i b G U y N D g l M j A o U G F n Z S U y M D I 3 N i k v U 2 9 1 c m N l P C 9 J d G V t U G F 0 a D 4 8 L 0 l 0 Z W 1 M b 2 N h d G l v b j 4 8 U 3 R h Y m x l R W 5 0 c m l l c y 8 + P C 9 J d G V t P j x J d G V t P j x J d G V t T G 9 j Y X R p b 2 4 + P E l 0 Z W 1 U e X B l P k Z v c m 1 1 b G E 8 L 0 l 0 Z W 1 U e X B l P j x J d G V t U G F 0 a D 5 T Z W N 0 a W 9 u M S 9 U Y W J s Z T I 0 O C U y M C h Q Y W d l J T I w M j c 2 K S 9 U Y W J s Z T I 0 O D w v S X R l b V B h d G g + P C 9 J d G V t T G 9 j Y X R p b 2 4 + P F N 0 Y W J s Z U V u d H J p Z X M v P j w v S X R l b T 4 8 S X R l b T 4 8 S X R l b U x v Y 2 F 0 a W 9 u P j x J d G V t V H l w Z T 5 G b 3 J t d W x h P C 9 J d G V t V H l w Z T 4 8 S X R l b V B h d G g + U 2 V j d G l v b j E v V G F i b G U y N D g l M j A o U G F n Z S U y M D I 3 N i k v R W 4 t d C V D M y V B Q X R l c y U y M H B y b 2 1 1 c z w v S X R l b V B h d G g + P C 9 J d G V t T G 9 j Y X R p b 2 4 + P F N 0 Y W J s Z U V u d H J p Z X M v P j w v S X R l b T 4 8 S X R l b T 4 8 S X R l b U x v Y 2 F 0 a W 9 u P j x J d G V t V H l w Z T 5 G b 3 J t d W x h P C 9 J d G V t V H l w Z T 4 8 S X R l b V B h d G g + U 2 V j d G l v b j E v V G F i b G U y N D g l M j A o U G F n Z S U y M D I 3 N i k v V H l w Z S U y M G 1 v Z G l m a S V D M y V B O T w v S X R l b V B h d G g + P C 9 J d G V t T G 9 j Y X R p b 2 4 + P F N 0 Y W J s Z U V u d H J p Z X M v P j w v S X R l b T 4 8 S X R l b T 4 8 S X R l b U x v Y 2 F 0 a W 9 u P j x J d G V t V H l w Z T 5 G b 3 J t d W x h P C 9 J d G V t V H l w Z T 4 8 S X R l b V B h d G g + U 2 V j d G l v b j E v V G F i b G U y N D g l M j A o U G F n Z S U y M D I 3 N i k l M j A o M i k v U 2 9 1 c m N l P C 9 J d G V t U G F 0 a D 4 8 L 0 l 0 Z W 1 M b 2 N h d G l v b j 4 8 U 3 R h Y m x l R W 5 0 c m l l c y 8 + P C 9 J d G V t P j x J d G V t P j x J d G V t T G 9 j Y X R p b 2 4 + P E l 0 Z W 1 U e X B l P k Z v c m 1 1 b G E 8 L 0 l 0 Z W 1 U e X B l P j x J d G V t U G F 0 a D 5 T Z W N 0 a W 9 u M S 9 U Y W J s Z T I 0 O C U y M C h Q Y W d l J T I w M j c 2 K S U y M C g y K S 9 U Y W J s Z T I 0 O D w v S X R l b V B h d G g + P C 9 J d G V t T G 9 j Y X R p b 2 4 + P F N 0 Y W J s Z U V u d H J p Z X M v P j w v S X R l b T 4 8 S X R l b T 4 8 S X R l b U x v Y 2 F 0 a W 9 u P j x J d G V t V H l w Z T 5 G b 3 J t d W x h P C 9 J d G V t V H l w Z T 4 8 S X R l b V B h d G g + U 2 V j d G l v b j E v V G F i b G U y N D g l M j A o U G F n Z S U y M D I 3 N i k l M j A o M i k v R W 4 t d C V D M y V B Q X R l c y U y M H B y b 2 1 1 c z w v S X R l b V B h d G g + P C 9 J d G V t T G 9 j Y X R p b 2 4 + P F N 0 Y W J s Z U V u d H J p Z X M v P j w v S X R l b T 4 8 S X R l b T 4 8 S X R l b U x v Y 2 F 0 a W 9 u P j x J d G V t V H l w Z T 5 G b 3 J t d W x h P C 9 J d G V t V H l w Z T 4 8 S X R l b V B h d G g + U 2 V j d G l v b j E v V G F i b G U y N D g l M j A o U G F n Z S U y M D I 3 N i k l M j A o M i k v V H l w Z S U y M G 1 v Z G l m a S V D M y V B O T 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A m A Q A A A Q A A A N C M n d 8 B F d E R j H o A w E / C l + s B A A A A L E V 3 x w 9 + H E u m X F o U U Q M b S g A A A A A C A A A A A A A Q Z g A A A A E A A C A A A A D B 0 z 8 g F L U 7 i L J V K X q g T H F Y v M 0 Y E 1 G w m d w 1 l L R q m 6 i M w g A A A A A O g A A A A A I A A C A A A A B L o K v u M W o S I N p H E S 3 D / l k / c e d W g m C 1 + c y F q E p h + Y n Q 2 l A A A A A v 1 8 U H R H D o L J T I W a M V e N o w K T + w i 8 s o h x 2 k 9 m f 1 f O a K f f c r T 2 t t c Y u h K l x P q Q V U s o y 3 E k O U q 8 y e f Y 1 A k I Y + I q y C m 8 a w c a E h Z K T B A Q V 7 T / v 9 L E A A A A A o Z Q u / n 7 v W W 2 m l t o e g n f v s k F h A l g r I u C L y K a d s 9 i B r K i b Q j n M w 5 O k y L p N s h 2 M W P r m r h 8 d N q f k l w 6 i f T V z z s p q M < / 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A33AD8-55A7-4031-9882-58282389A613}">
  <ds:schemaRefs>
    <ds:schemaRef ds:uri="http://schemas.microsoft.com/office/2006/metadata/properties"/>
    <ds:schemaRef ds:uri="http://schemas.microsoft.com/office/infopath/2007/PartnerControls"/>
    <ds:schemaRef ds:uri="http://schemas.microsoft.com/sharepoint/v3"/>
    <ds:schemaRef ds:uri="6d25fa36-6e92-4a8c-bcd7-8d2e2e5dc1cc"/>
    <ds:schemaRef ds:uri="2a193445-8f29-4d28-b3a3-ce6182a987ad"/>
  </ds:schemaRefs>
</ds:datastoreItem>
</file>

<file path=customXml/itemProps2.xml><?xml version="1.0" encoding="utf-8"?>
<ds:datastoreItem xmlns:ds="http://schemas.openxmlformats.org/officeDocument/2006/customXml" ds:itemID="{635928AA-0A4E-428F-94F6-B06EA4019E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25fa36-6e92-4a8c-bcd7-8d2e2e5dc1cc"/>
    <ds:schemaRef ds:uri="2a193445-8f29-4d28-b3a3-ce6182a98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C0BFFC-2FCA-4FC3-A49E-CB47D89D7725}">
  <ds:schemaRefs>
    <ds:schemaRef ds:uri="http://schemas.microsoft.com/DataMashup"/>
  </ds:schemaRefs>
</ds:datastoreItem>
</file>

<file path=customXml/itemProps4.xml><?xml version="1.0" encoding="utf-8"?>
<ds:datastoreItem xmlns:ds="http://schemas.openxmlformats.org/officeDocument/2006/customXml" ds:itemID="{5B107B75-7598-44A6-8AA2-5E2ED8E8B7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vt:i4>
      </vt:variant>
    </vt:vector>
  </HeadingPairs>
  <TitlesOfParts>
    <vt:vector size="18" baseType="lpstr">
      <vt:lpstr>A LIRE </vt:lpstr>
      <vt:lpstr>Périmètres</vt:lpstr>
      <vt:lpstr>SynthèseDFHIST</vt:lpstr>
      <vt:lpstr>DFHIST+DFPRO</vt:lpstr>
      <vt:lpstr>CT_RENO</vt:lpstr>
      <vt:lpstr>DEP_ENER</vt:lpstr>
      <vt:lpstr>axENER</vt:lpstr>
      <vt:lpstr>axENER2</vt:lpstr>
      <vt:lpstr>TER_NEUF</vt:lpstr>
      <vt:lpstr>VP</vt:lpstr>
      <vt:lpstr>VUL</vt:lpstr>
      <vt:lpstr>MR_FER</vt:lpstr>
      <vt:lpstr>BUSCAR</vt:lpstr>
      <vt:lpstr>ROUTES (v2)</vt:lpstr>
      <vt:lpstr>Ax(V2)</vt:lpstr>
      <vt:lpstr>RESTAUCO</vt:lpstr>
      <vt:lpstr>MAT_INFO</vt:lpstr>
      <vt:lpstr>Périmètres!Zone_d_impression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Axel ERBA</dc:creator>
  <cp:keywords/>
  <dc:description/>
  <cp:lastModifiedBy>Lucile PERRONNELLE</cp:lastModifiedBy>
  <cp:revision/>
  <dcterms:created xsi:type="dcterms:W3CDTF">2024-12-16T12:33:59Z</dcterms:created>
  <dcterms:modified xsi:type="dcterms:W3CDTF">2026-03-23T16:06:46Z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0x01010043565D2027CB5C43B896265DB26BF053</vt:lpwstr>
  </property>
  <property fmtid="{D5CDD505-2E9C-101B-9397-08002B2CF9AE}" pid="3" name="MediaServiceImageTags">
    <vt:lpwstr/>
  </property>
</Properties>
</file>