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https://i4ce.sharepoint.com/Documents partages/31 - Investissement/Financial Regulations/Impact Réglementation Prudentielle/05_Modèles/"/>
    </mc:Choice>
  </mc:AlternateContent>
  <xr:revisionPtr revIDLastSave="195" documentId="8_{9BAA7F04-5742-4ABC-AFAD-02EA2C81E426}" xr6:coauthVersionLast="47" xr6:coauthVersionMax="47" xr10:uidLastSave="{977E880F-6701-400D-9EAA-76618E1C392F}"/>
  <bookViews>
    <workbookView minimized="1" xWindow="810" yWindow="30" windowWidth="19605" windowHeight="10890" xr2:uid="{00000000-000D-0000-FFFF-FFFF00000000}"/>
  </bookViews>
  <sheets>
    <sheet name="IMPACT banques GSF ROE+" sheetId="7" r:id="rId1"/>
    <sheet name="Effects on the credit" sheetId="8" r:id="rId2"/>
    <sheet name="Eligible portfolio calculation" sheetId="9" r:id="rId3"/>
    <sheet name="Maturity models" sheetId="6" r:id="rId4"/>
    <sheet name="Climate investments" sheetId="3" r:id="rId5"/>
    <sheet name="Feuil2" sheetId="11"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11" l="1"/>
  <c r="J19" i="11"/>
  <c r="I19" i="11"/>
  <c r="H19" i="11"/>
  <c r="G19" i="11"/>
  <c r="F19" i="11"/>
  <c r="E19" i="11"/>
  <c r="F18" i="11"/>
  <c r="G18" i="11" s="1"/>
  <c r="H18" i="11" s="1"/>
  <c r="I18" i="11" s="1"/>
  <c r="J18" i="11" s="1"/>
  <c r="K18" i="11" s="1"/>
  <c r="F14" i="11"/>
  <c r="G14" i="11"/>
  <c r="H14" i="11"/>
  <c r="I14" i="11"/>
  <c r="J14" i="11"/>
  <c r="K14" i="11"/>
  <c r="E14" i="11"/>
  <c r="G11" i="11"/>
  <c r="H11" i="11"/>
  <c r="I11" i="11"/>
  <c r="J11" i="11"/>
  <c r="K11" i="11"/>
  <c r="F11" i="11"/>
  <c r="E11" i="11"/>
  <c r="G10" i="11"/>
  <c r="H10" i="11"/>
  <c r="I10" i="11"/>
  <c r="J10" i="11"/>
  <c r="K10" i="11" s="1"/>
  <c r="F10" i="11"/>
  <c r="F9" i="11"/>
  <c r="G9" i="11" l="1"/>
  <c r="H9" i="11" l="1"/>
  <c r="I9" i="11" l="1"/>
  <c r="J9" i="11" l="1"/>
  <c r="K9" i="11" l="1"/>
  <c r="C25" i="3" l="1"/>
  <c r="J7" i="9"/>
  <c r="L20" i="3"/>
  <c r="M20" i="3" s="1"/>
  <c r="N20" i="3" s="1"/>
  <c r="O20" i="3" s="1"/>
  <c r="K20" i="3"/>
  <c r="D31" i="7"/>
  <c r="I65" i="7" l="1"/>
  <c r="I66" i="7" s="1"/>
  <c r="I55" i="7"/>
  <c r="I56" i="7" s="1"/>
  <c r="I45" i="7"/>
  <c r="I46" i="7" s="1"/>
  <c r="R9" i="9"/>
  <c r="R8" i="9"/>
  <c r="R7" i="9"/>
  <c r="E30" i="3"/>
  <c r="F30" i="3" s="1"/>
  <c r="G30" i="3" s="1"/>
  <c r="H30" i="3" s="1"/>
  <c r="I30" i="3" s="1"/>
  <c r="J30" i="3" s="1"/>
  <c r="K30" i="3" s="1"/>
  <c r="L30" i="3" s="1"/>
  <c r="M30" i="3" s="1"/>
  <c r="N30" i="3" s="1"/>
  <c r="O30" i="3" s="1"/>
  <c r="C5" i="9"/>
  <c r="C15" i="9"/>
  <c r="D15" i="9" s="1"/>
  <c r="E15" i="9" s="1"/>
  <c r="F15" i="9" s="1"/>
  <c r="G15" i="9" s="1"/>
  <c r="H15" i="9" s="1"/>
  <c r="I15" i="9" s="1"/>
  <c r="J15" i="9" s="1"/>
  <c r="C7" i="9"/>
  <c r="D7" i="9" s="1"/>
  <c r="E7" i="9" s="1"/>
  <c r="F7" i="9" s="1"/>
  <c r="G7" i="9" s="1"/>
  <c r="H7" i="9" s="1"/>
  <c r="I7" i="9" s="1"/>
  <c r="K7" i="9" s="1"/>
  <c r="L7" i="9" s="1"/>
  <c r="M7" i="9" s="1"/>
  <c r="N7" i="9" s="1"/>
  <c r="O7" i="9" s="1"/>
  <c r="P7" i="9" s="1"/>
  <c r="C22" i="9"/>
  <c r="D21" i="9"/>
  <c r="E21" i="9" s="1"/>
  <c r="F21" i="9" s="1"/>
  <c r="G21" i="9" s="1"/>
  <c r="H21" i="9" s="1"/>
  <c r="I21" i="9" s="1"/>
  <c r="J21" i="9" s="1"/>
  <c r="K21" i="9" s="1"/>
  <c r="L21" i="9" s="1"/>
  <c r="M21" i="9" s="1"/>
  <c r="N21" i="9" s="1"/>
  <c r="O21" i="9" s="1"/>
  <c r="P21" i="9" s="1"/>
  <c r="D4" i="9"/>
  <c r="E4" i="9" s="1"/>
  <c r="E5" i="9" s="1"/>
  <c r="G100" i="7"/>
  <c r="H100" i="7"/>
  <c r="H101" i="7" s="1"/>
  <c r="I100" i="7"/>
  <c r="I101" i="7" s="1"/>
  <c r="F100" i="7"/>
  <c r="F101" i="7" s="1"/>
  <c r="I103" i="7"/>
  <c r="H103" i="7"/>
  <c r="G103" i="7"/>
  <c r="F103" i="7"/>
  <c r="G101" i="7"/>
  <c r="G90" i="7"/>
  <c r="G91" i="7" s="1"/>
  <c r="H90" i="7"/>
  <c r="H91" i="7" s="1"/>
  <c r="I90" i="7"/>
  <c r="I91" i="7" s="1"/>
  <c r="F90" i="7"/>
  <c r="F91" i="7" s="1"/>
  <c r="I93" i="7"/>
  <c r="H93" i="7"/>
  <c r="G93" i="7"/>
  <c r="F93" i="7"/>
  <c r="G80" i="7"/>
  <c r="G81" i="7" s="1"/>
  <c r="H80" i="7"/>
  <c r="H81" i="7" s="1"/>
  <c r="I80" i="7"/>
  <c r="I81" i="7" s="1"/>
  <c r="F80" i="7"/>
  <c r="F81" i="7" s="1"/>
  <c r="I83" i="7"/>
  <c r="H83" i="7"/>
  <c r="G83" i="7"/>
  <c r="F83" i="7"/>
  <c r="I59" i="7"/>
  <c r="H59" i="7"/>
  <c r="G59" i="7"/>
  <c r="I57" i="7"/>
  <c r="I69" i="7"/>
  <c r="H69" i="7"/>
  <c r="G69" i="7"/>
  <c r="I67" i="7"/>
  <c r="I49" i="7"/>
  <c r="I50" i="7" s="1"/>
  <c r="H49" i="7"/>
  <c r="G49" i="7"/>
  <c r="I47" i="7"/>
  <c r="F34" i="7"/>
  <c r="G34" i="7"/>
  <c r="H34" i="7"/>
  <c r="I31" i="7"/>
  <c r="I32" i="7" s="1"/>
  <c r="I86" i="7" s="1"/>
  <c r="I87" i="7" s="1"/>
  <c r="I36" i="7"/>
  <c r="H53" i="7" s="1"/>
  <c r="H36" i="7"/>
  <c r="G73" i="7" s="1"/>
  <c r="G36" i="7"/>
  <c r="F73" i="7" s="1"/>
  <c r="D30" i="7"/>
  <c r="I34" i="7"/>
  <c r="D29" i="7" s="1"/>
  <c r="V11" i="7"/>
  <c r="V8" i="7"/>
  <c r="E25" i="3"/>
  <c r="F25" i="3" s="1"/>
  <c r="G25" i="3" s="1"/>
  <c r="H25" i="3" s="1"/>
  <c r="I25" i="3" s="1"/>
  <c r="D29" i="6"/>
  <c r="E29" i="6"/>
  <c r="C30" i="6"/>
  <c r="D21" i="6"/>
  <c r="E21" i="6"/>
  <c r="C21" i="6"/>
  <c r="D27" i="6"/>
  <c r="E27" i="6"/>
  <c r="C27" i="6"/>
  <c r="D20" i="6"/>
  <c r="E20" i="6"/>
  <c r="C20" i="6"/>
  <c r="D11" i="6"/>
  <c r="E11" i="6"/>
  <c r="C11" i="6"/>
  <c r="J30" i="7" l="1"/>
  <c r="H30" i="7"/>
  <c r="I60" i="7"/>
  <c r="I70" i="7"/>
  <c r="I72" i="7"/>
  <c r="F63" i="7"/>
  <c r="H73" i="7"/>
  <c r="G53" i="7"/>
  <c r="I62" i="7"/>
  <c r="I52" i="7"/>
  <c r="H63" i="7"/>
  <c r="G63" i="7"/>
  <c r="F53" i="7"/>
  <c r="C23" i="9"/>
  <c r="D5" i="9"/>
  <c r="V5" i="7"/>
  <c r="C16" i="9"/>
  <c r="C17" i="9" s="1"/>
  <c r="D16" i="9"/>
  <c r="E16" i="9"/>
  <c r="E17" i="9" s="1"/>
  <c r="I18" i="9" s="1"/>
  <c r="E22" i="9"/>
  <c r="E23" i="9" s="1"/>
  <c r="I24" i="9" s="1"/>
  <c r="F4" i="9"/>
  <c r="F5" i="9" s="1"/>
  <c r="E8" i="9"/>
  <c r="C8" i="9"/>
  <c r="C9" i="9" s="1"/>
  <c r="D8" i="9"/>
  <c r="D22" i="9"/>
  <c r="K15" i="9"/>
  <c r="F102" i="7"/>
  <c r="H92" i="7"/>
  <c r="G92" i="7"/>
  <c r="F92" i="7"/>
  <c r="I105" i="7"/>
  <c r="I96" i="7"/>
  <c r="I97" i="7" s="1"/>
  <c r="G82" i="7"/>
  <c r="C29" i="3"/>
  <c r="G102" i="7"/>
  <c r="I95" i="7"/>
  <c r="I106" i="7"/>
  <c r="I107" i="7" s="1"/>
  <c r="H102" i="7"/>
  <c r="I85" i="7"/>
  <c r="F82" i="7"/>
  <c r="H82" i="7"/>
  <c r="H43" i="7"/>
  <c r="J43" i="7"/>
  <c r="J34" i="7"/>
  <c r="K30" i="7"/>
  <c r="K34" i="7" s="1"/>
  <c r="J31" i="7"/>
  <c r="J25" i="3"/>
  <c r="C24" i="3"/>
  <c r="C29" i="6"/>
  <c r="C12" i="6" s="1"/>
  <c r="D32" i="6"/>
  <c r="C32" i="6"/>
  <c r="E20" i="3"/>
  <c r="C19" i="3" s="1"/>
  <c r="G24" i="9" l="1"/>
  <c r="C25" i="9"/>
  <c r="W10" i="7" s="1"/>
  <c r="W11" i="7" s="1"/>
  <c r="C19" i="9"/>
  <c r="W7" i="7" s="1"/>
  <c r="W8" i="7" s="1"/>
  <c r="C13" i="9"/>
  <c r="W4" i="7" s="1"/>
  <c r="F16" i="9"/>
  <c r="F17" i="9" s="1"/>
  <c r="J18" i="9" s="1"/>
  <c r="H55" i="7"/>
  <c r="H56" i="7" s="1"/>
  <c r="H65" i="7"/>
  <c r="H66" i="7" s="1"/>
  <c r="J55" i="7"/>
  <c r="J56" i="7" s="1"/>
  <c r="J65" i="7"/>
  <c r="J66" i="7" s="1"/>
  <c r="D9" i="9"/>
  <c r="J67" i="7"/>
  <c r="J68" i="7" s="1"/>
  <c r="J69" i="7" s="1"/>
  <c r="J45" i="7"/>
  <c r="J46" i="7" s="1"/>
  <c r="H57" i="7"/>
  <c r="H45" i="7"/>
  <c r="H46" i="7" s="1"/>
  <c r="D17" i="9"/>
  <c r="D19" i="9" s="1"/>
  <c r="D23" i="9"/>
  <c r="E9" i="9"/>
  <c r="G18" i="9"/>
  <c r="G12" i="9"/>
  <c r="F8" i="9"/>
  <c r="L15" i="9"/>
  <c r="G4" i="9"/>
  <c r="G5" i="9" s="1"/>
  <c r="F22" i="9"/>
  <c r="F23" i="9" s="1"/>
  <c r="J24" i="9" s="1"/>
  <c r="J95" i="7"/>
  <c r="J105" i="7"/>
  <c r="H105" i="7"/>
  <c r="H95" i="7"/>
  <c r="J32" i="7"/>
  <c r="J85" i="7"/>
  <c r="H32" i="7"/>
  <c r="H62" i="7" s="1"/>
  <c r="H85" i="7"/>
  <c r="H67" i="7"/>
  <c r="H47" i="7"/>
  <c r="J57" i="7"/>
  <c r="J47" i="7"/>
  <c r="G43" i="7"/>
  <c r="G65" i="7" s="1"/>
  <c r="G66" i="7" s="1"/>
  <c r="G30" i="7"/>
  <c r="G31" i="7" s="1"/>
  <c r="K43" i="7"/>
  <c r="K65" i="7" s="1"/>
  <c r="L30" i="7"/>
  <c r="L34" i="7" s="1"/>
  <c r="K31" i="7"/>
  <c r="K32" i="7" s="1"/>
  <c r="K25" i="3"/>
  <c r="F29" i="3"/>
  <c r="D28" i="6"/>
  <c r="D12" i="6"/>
  <c r="E32" i="6"/>
  <c r="E28" i="6"/>
  <c r="E30" i="6" s="1"/>
  <c r="C28" i="6"/>
  <c r="E12" i="6"/>
  <c r="F20" i="3"/>
  <c r="G20" i="3" s="1"/>
  <c r="H20" i="3" s="1"/>
  <c r="E13" i="9" l="1"/>
  <c r="D13" i="9"/>
  <c r="X4" i="7" s="1"/>
  <c r="D25" i="9"/>
  <c r="F25" i="9"/>
  <c r="Z10" i="7" s="1"/>
  <c r="E25" i="9"/>
  <c r="Y10" i="7" s="1"/>
  <c r="Y11" i="7" s="1"/>
  <c r="F19" i="9"/>
  <c r="Z7" i="7" s="1"/>
  <c r="E19" i="9"/>
  <c r="H12" i="9"/>
  <c r="J70" i="7"/>
  <c r="I71" i="7"/>
  <c r="H71" i="7"/>
  <c r="H70" i="7"/>
  <c r="J72" i="7"/>
  <c r="J52" i="7"/>
  <c r="G71" i="7"/>
  <c r="G70" i="7"/>
  <c r="H51" i="7"/>
  <c r="H50" i="7"/>
  <c r="H61" i="7"/>
  <c r="H60" i="7"/>
  <c r="H72" i="7"/>
  <c r="J62" i="7"/>
  <c r="H52" i="7"/>
  <c r="K66" i="7"/>
  <c r="G45" i="7"/>
  <c r="G46" i="7" s="1"/>
  <c r="G55" i="7"/>
  <c r="G56" i="7" s="1"/>
  <c r="K45" i="7"/>
  <c r="K46" i="7" s="1"/>
  <c r="K55" i="7"/>
  <c r="H18" i="9"/>
  <c r="I12" i="9"/>
  <c r="X7" i="7"/>
  <c r="Y7" i="7"/>
  <c r="Y4" i="7"/>
  <c r="F9" i="9"/>
  <c r="H24" i="9"/>
  <c r="X10" i="7"/>
  <c r="X11" i="7" s="1"/>
  <c r="H4" i="9"/>
  <c r="H5" i="9" s="1"/>
  <c r="G22" i="9"/>
  <c r="G23" i="9" s="1"/>
  <c r="G16" i="9"/>
  <c r="G17" i="9" s="1"/>
  <c r="G8" i="9"/>
  <c r="G9" i="9" s="1"/>
  <c r="M15" i="9"/>
  <c r="H96" i="7"/>
  <c r="H97" i="7" s="1"/>
  <c r="H106" i="7"/>
  <c r="H107" i="7" s="1"/>
  <c r="I37" i="7"/>
  <c r="G95" i="7"/>
  <c r="G105" i="7"/>
  <c r="J86" i="7"/>
  <c r="J87" i="7" s="1"/>
  <c r="J106" i="7"/>
  <c r="J107" i="7" s="1"/>
  <c r="J96" i="7"/>
  <c r="J97" i="7" s="1"/>
  <c r="H38" i="7"/>
  <c r="H86" i="7"/>
  <c r="H87" i="7" s="1"/>
  <c r="G32" i="7"/>
  <c r="G52" i="7" s="1"/>
  <c r="G85" i="7"/>
  <c r="K57" i="7"/>
  <c r="K67" i="7"/>
  <c r="K68" i="7" s="1"/>
  <c r="K69" i="7" s="1"/>
  <c r="G67" i="7"/>
  <c r="G57" i="7"/>
  <c r="G47" i="7"/>
  <c r="F30" i="7"/>
  <c r="F31" i="7" s="1"/>
  <c r="L43" i="7"/>
  <c r="K47" i="7"/>
  <c r="F43" i="7"/>
  <c r="F65" i="7" s="1"/>
  <c r="F66" i="7" s="1"/>
  <c r="M30" i="7"/>
  <c r="M34" i="7" s="1"/>
  <c r="L31" i="7"/>
  <c r="L32" i="7" s="1"/>
  <c r="L25" i="3"/>
  <c r="F24" i="3"/>
  <c r="D30" i="6"/>
  <c r="I20" i="3"/>
  <c r="L67" i="7" l="1"/>
  <c r="L68" i="7" s="1"/>
  <c r="L65" i="7"/>
  <c r="L45" i="7"/>
  <c r="L55" i="7"/>
  <c r="K70" i="7"/>
  <c r="G13" i="9"/>
  <c r="AA4" i="7" s="1"/>
  <c r="F13" i="9"/>
  <c r="Z4" i="7" s="1"/>
  <c r="G25" i="9"/>
  <c r="AA10" i="7" s="1"/>
  <c r="G19" i="9"/>
  <c r="AA7" i="7" s="1"/>
  <c r="G51" i="7"/>
  <c r="G50" i="7"/>
  <c r="K72" i="7"/>
  <c r="K52" i="7"/>
  <c r="J71" i="7"/>
  <c r="G61" i="7"/>
  <c r="G60" i="7"/>
  <c r="G72" i="7"/>
  <c r="L66" i="7"/>
  <c r="F45" i="7"/>
  <c r="F46" i="7" s="1"/>
  <c r="F55" i="7"/>
  <c r="F56" i="7" s="1"/>
  <c r="K56" i="7"/>
  <c r="G62" i="7"/>
  <c r="J12" i="9"/>
  <c r="K24" i="9"/>
  <c r="K18" i="9"/>
  <c r="K12" i="9"/>
  <c r="N15" i="9"/>
  <c r="I4" i="9"/>
  <c r="I5" i="9" s="1"/>
  <c r="H16" i="9"/>
  <c r="H17" i="9" s="1"/>
  <c r="H8" i="9"/>
  <c r="H9" i="9" s="1"/>
  <c r="H13" i="9" s="1"/>
  <c r="H22" i="9"/>
  <c r="H23" i="9" s="1"/>
  <c r="L24" i="9" s="1"/>
  <c r="G96" i="7"/>
  <c r="G97" i="7" s="1"/>
  <c r="G106" i="7"/>
  <c r="G107" i="7" s="1"/>
  <c r="F95" i="7"/>
  <c r="F105" i="7"/>
  <c r="G38" i="7"/>
  <c r="G86" i="7"/>
  <c r="G87" i="7" s="1"/>
  <c r="H37" i="7"/>
  <c r="F32" i="7"/>
  <c r="F85" i="7"/>
  <c r="L69" i="7"/>
  <c r="L70" i="7" s="1"/>
  <c r="F57" i="7"/>
  <c r="F47" i="7"/>
  <c r="F67" i="7"/>
  <c r="L57" i="7"/>
  <c r="L58" i="7" s="1"/>
  <c r="M43" i="7"/>
  <c r="N30" i="7"/>
  <c r="N34" i="7" s="1"/>
  <c r="M31" i="7"/>
  <c r="M32" i="7" s="1"/>
  <c r="Z11" i="7"/>
  <c r="M25" i="3"/>
  <c r="W5" i="7"/>
  <c r="L47" i="7" s="1"/>
  <c r="L48" i="7" s="1"/>
  <c r="J20" i="3"/>
  <c r="F19" i="3" s="1"/>
  <c r="M67" i="7" l="1"/>
  <c r="M68" i="7" s="1"/>
  <c r="M69" i="7" s="1"/>
  <c r="M55" i="7"/>
  <c r="M65" i="7"/>
  <c r="M45" i="7"/>
  <c r="L18" i="9"/>
  <c r="H19" i="9"/>
  <c r="H25" i="9"/>
  <c r="AB10" i="7" s="1"/>
  <c r="AB11" i="7" s="1"/>
  <c r="K71" i="7"/>
  <c r="L72" i="7"/>
  <c r="L71" i="7"/>
  <c r="K62" i="7"/>
  <c r="M66" i="7"/>
  <c r="M70" i="7" s="1"/>
  <c r="L12" i="9"/>
  <c r="AB7" i="7"/>
  <c r="AB4" i="7"/>
  <c r="J4" i="9"/>
  <c r="J5" i="9" s="1"/>
  <c r="I22" i="9"/>
  <c r="I23" i="9" s="1"/>
  <c r="M24" i="9" s="1"/>
  <c r="I16" i="9"/>
  <c r="I17" i="9" s="1"/>
  <c r="I8" i="9"/>
  <c r="I9" i="9" s="1"/>
  <c r="O15" i="9"/>
  <c r="F96" i="7"/>
  <c r="F97" i="7" s="1"/>
  <c r="F106" i="7"/>
  <c r="F107" i="7" s="1"/>
  <c r="F38" i="7"/>
  <c r="F86" i="7"/>
  <c r="F87" i="7" s="1"/>
  <c r="G37" i="7"/>
  <c r="N43" i="7"/>
  <c r="O30" i="7"/>
  <c r="O34" i="7" s="1"/>
  <c r="N31" i="7"/>
  <c r="N32" i="7" s="1"/>
  <c r="N25" i="3"/>
  <c r="K29" i="3"/>
  <c r="AA11" i="7"/>
  <c r="N67" i="7" l="1"/>
  <c r="N55" i="7"/>
  <c r="N65" i="7"/>
  <c r="N45" i="7"/>
  <c r="I19" i="9"/>
  <c r="I13" i="9"/>
  <c r="AC4" i="7" s="1"/>
  <c r="I25" i="9"/>
  <c r="M72" i="7"/>
  <c r="M18" i="9"/>
  <c r="AC7" i="7"/>
  <c r="AC10" i="7"/>
  <c r="M12" i="9"/>
  <c r="P15" i="9"/>
  <c r="K4" i="9"/>
  <c r="K5" i="9" s="1"/>
  <c r="J22" i="9"/>
  <c r="J23" i="9" s="1"/>
  <c r="J25" i="9" s="1"/>
  <c r="J16" i="9"/>
  <c r="J17" i="9" s="1"/>
  <c r="N18" i="9" s="1"/>
  <c r="J8" i="9"/>
  <c r="O25" i="3"/>
  <c r="K24" i="3" s="1"/>
  <c r="N68" i="7"/>
  <c r="O43" i="7"/>
  <c r="P30" i="7"/>
  <c r="P34" i="7" s="1"/>
  <c r="O31" i="7"/>
  <c r="O32" i="7" s="1"/>
  <c r="Y5" i="7"/>
  <c r="N47" i="7" s="1"/>
  <c r="N48" i="7" s="1"/>
  <c r="Y8" i="7"/>
  <c r="N57" i="7" s="1"/>
  <c r="N58" i="7" s="1"/>
  <c r="O65" i="7" l="1"/>
  <c r="O45" i="7"/>
  <c r="O55" i="7"/>
  <c r="N24" i="9"/>
  <c r="J19" i="9"/>
  <c r="AD7" i="7" s="1"/>
  <c r="N69" i="7"/>
  <c r="N66" i="7"/>
  <c r="J9" i="9"/>
  <c r="AD10" i="7"/>
  <c r="AD11" i="7" s="1"/>
  <c r="L7" i="7"/>
  <c r="L10" i="7"/>
  <c r="AC11" i="7"/>
  <c r="L9" i="7"/>
  <c r="L6" i="7"/>
  <c r="L8" i="7"/>
  <c r="L5" i="7"/>
  <c r="L4" i="9"/>
  <c r="L5" i="9" s="1"/>
  <c r="K22" i="9"/>
  <c r="K23" i="9" s="1"/>
  <c r="K8" i="9"/>
  <c r="K16" i="9"/>
  <c r="K17" i="9" s="1"/>
  <c r="O18" i="9" s="1"/>
  <c r="X8" i="7"/>
  <c r="M57" i="7" s="1"/>
  <c r="M58" i="7" s="1"/>
  <c r="M59" i="7" s="1"/>
  <c r="X5" i="7"/>
  <c r="M47" i="7" s="1"/>
  <c r="M48" i="7" s="1"/>
  <c r="O67" i="7"/>
  <c r="O68" i="7" s="1"/>
  <c r="P43" i="7"/>
  <c r="Q30" i="7"/>
  <c r="Q34" i="7" s="1"/>
  <c r="P31" i="7"/>
  <c r="P32" i="7" s="1"/>
  <c r="P67" i="7" l="1"/>
  <c r="P65" i="7"/>
  <c r="P45" i="7"/>
  <c r="P55" i="7"/>
  <c r="O24" i="9"/>
  <c r="K19" i="9"/>
  <c r="AE7" i="7" s="1"/>
  <c r="J13" i="9"/>
  <c r="AD4" i="7" s="1"/>
  <c r="K25" i="9"/>
  <c r="AE10" i="7" s="1"/>
  <c r="AE11" i="7" s="1"/>
  <c r="N72" i="7"/>
  <c r="N70" i="7"/>
  <c r="M71" i="7"/>
  <c r="O69" i="7"/>
  <c r="O66" i="7"/>
  <c r="M49" i="7"/>
  <c r="N12" i="9"/>
  <c r="M10" i="7"/>
  <c r="M7" i="7"/>
  <c r="K9" i="9"/>
  <c r="K13" i="9" s="1"/>
  <c r="M4" i="9"/>
  <c r="M5" i="9" s="1"/>
  <c r="L8" i="9"/>
  <c r="L9" i="9" s="1"/>
  <c r="L22" i="9"/>
  <c r="L23" i="9" s="1"/>
  <c r="L16" i="9"/>
  <c r="L17" i="9" s="1"/>
  <c r="AD8" i="7"/>
  <c r="N59" i="7"/>
  <c r="N49" i="7"/>
  <c r="P68" i="7"/>
  <c r="Q43" i="7"/>
  <c r="R30" i="7"/>
  <c r="Q31" i="7"/>
  <c r="Q32" i="7" s="1"/>
  <c r="AA5" i="7"/>
  <c r="P47" i="7" s="1"/>
  <c r="P48" i="7" s="1"/>
  <c r="AA8" i="7"/>
  <c r="P57" i="7" s="1"/>
  <c r="P58" i="7" s="1"/>
  <c r="Q67" i="7" l="1"/>
  <c r="Q55" i="7"/>
  <c r="Q65" i="7"/>
  <c r="Q45" i="7"/>
  <c r="L13" i="9"/>
  <c r="P24" i="9"/>
  <c r="L25" i="9"/>
  <c r="AF10" i="7" s="1"/>
  <c r="AF11" i="7" s="1"/>
  <c r="P18" i="9"/>
  <c r="L19" i="9"/>
  <c r="AF7" i="7" s="1"/>
  <c r="O72" i="7"/>
  <c r="O70" i="7"/>
  <c r="N71" i="7"/>
  <c r="P69" i="7"/>
  <c r="P66" i="7"/>
  <c r="P12" i="9"/>
  <c r="AE4" i="7"/>
  <c r="O12" i="9"/>
  <c r="AF4" i="7"/>
  <c r="N4" i="9"/>
  <c r="N5" i="9" s="1"/>
  <c r="M22" i="9"/>
  <c r="M23" i="9" s="1"/>
  <c r="M8" i="9"/>
  <c r="M9" i="9" s="1"/>
  <c r="M13" i="9" s="1"/>
  <c r="M16" i="9"/>
  <c r="M17" i="9" s="1"/>
  <c r="AE8" i="7"/>
  <c r="R34" i="7"/>
  <c r="S30" i="7"/>
  <c r="Z8" i="7"/>
  <c r="O57" i="7" s="1"/>
  <c r="O58" i="7" s="1"/>
  <c r="O59" i="7" s="1"/>
  <c r="Z5" i="7"/>
  <c r="O47" i="7" s="1"/>
  <c r="O48" i="7" s="1"/>
  <c r="AB8" i="7"/>
  <c r="Q57" i="7" s="1"/>
  <c r="Q58" i="7" s="1"/>
  <c r="Q59" i="7" s="1"/>
  <c r="AB5" i="7"/>
  <c r="Q47" i="7" s="1"/>
  <c r="Q48" i="7" s="1"/>
  <c r="Q49" i="7" s="1"/>
  <c r="Q68" i="7"/>
  <c r="R43" i="7"/>
  <c r="R31" i="7"/>
  <c r="R32" i="7" s="1"/>
  <c r="R55" i="7" l="1"/>
  <c r="R65" i="7"/>
  <c r="R45" i="7"/>
  <c r="M25" i="9"/>
  <c r="AG10" i="7" s="1"/>
  <c r="AG11" i="7" s="1"/>
  <c r="M19" i="9"/>
  <c r="AG7" i="7" s="1"/>
  <c r="P70" i="7"/>
  <c r="O71" i="7"/>
  <c r="P72" i="7"/>
  <c r="Q69" i="7"/>
  <c r="Q66" i="7"/>
  <c r="O49" i="7"/>
  <c r="AG4" i="7"/>
  <c r="O4" i="9"/>
  <c r="O5" i="9" s="1"/>
  <c r="N22" i="9"/>
  <c r="N23" i="9" s="1"/>
  <c r="N8" i="9"/>
  <c r="N16" i="9"/>
  <c r="N17" i="9" s="1"/>
  <c r="AF8" i="7"/>
  <c r="P59" i="7"/>
  <c r="T30" i="7"/>
  <c r="S31" i="7"/>
  <c r="S32" i="7" s="1"/>
  <c r="S34" i="7"/>
  <c r="S35" i="7" s="1"/>
  <c r="R67" i="7"/>
  <c r="R68" i="7" s="1"/>
  <c r="S43" i="7"/>
  <c r="P49" i="7"/>
  <c r="K19" i="3"/>
  <c r="S65" i="7" l="1"/>
  <c r="S45" i="7"/>
  <c r="S55" i="7"/>
  <c r="N19" i="9"/>
  <c r="AH7" i="7" s="1"/>
  <c r="AH8" i="7" s="1"/>
  <c r="N25" i="9"/>
  <c r="AH10" i="7" s="1"/>
  <c r="AH11" i="7" s="1"/>
  <c r="Q70" i="7"/>
  <c r="Q72" i="7"/>
  <c r="D72" i="7" s="1"/>
  <c r="H7" i="7" s="1"/>
  <c r="I7" i="7" s="1"/>
  <c r="P71" i="7"/>
  <c r="R69" i="7"/>
  <c r="R66" i="7"/>
  <c r="N9" i="9"/>
  <c r="N13" i="9" s="1"/>
  <c r="P4" i="9"/>
  <c r="P5" i="9" s="1"/>
  <c r="O22" i="9"/>
  <c r="O23" i="9" s="1"/>
  <c r="O8" i="9"/>
  <c r="O16" i="9"/>
  <c r="O17" i="9" s="1"/>
  <c r="AG8" i="7"/>
  <c r="AD5" i="7"/>
  <c r="S47" i="7" s="1"/>
  <c r="S48" i="7" s="1"/>
  <c r="T43" i="7"/>
  <c r="S57" i="7"/>
  <c r="S58" i="7" s="1"/>
  <c r="S67" i="7"/>
  <c r="S68" i="7" s="1"/>
  <c r="S66" i="7" s="1"/>
  <c r="T34" i="7"/>
  <c r="T35" i="7" s="1"/>
  <c r="T31" i="7"/>
  <c r="T32" i="7" s="1"/>
  <c r="U30" i="7"/>
  <c r="S100" i="7"/>
  <c r="S101" i="7" s="1"/>
  <c r="S102" i="7" s="1"/>
  <c r="S105" i="7" s="1"/>
  <c r="S90" i="7"/>
  <c r="S91" i="7" s="1"/>
  <c r="S92" i="7" s="1"/>
  <c r="S95" i="7" s="1"/>
  <c r="S80" i="7"/>
  <c r="S81" i="7" s="1"/>
  <c r="AC8" i="7"/>
  <c r="AC5" i="7"/>
  <c r="T65" i="7" l="1"/>
  <c r="T45" i="7"/>
  <c r="T55" i="7"/>
  <c r="O19" i="9"/>
  <c r="AI7" i="7" s="1"/>
  <c r="AI8" i="7" s="1"/>
  <c r="O25" i="9"/>
  <c r="AI10" i="7" s="1"/>
  <c r="AI11" i="7" s="1"/>
  <c r="R70" i="7"/>
  <c r="Q71" i="7"/>
  <c r="S72" i="7"/>
  <c r="R72" i="7"/>
  <c r="AH4" i="7"/>
  <c r="R57" i="7"/>
  <c r="R58" i="7" s="1"/>
  <c r="R59" i="7" s="1"/>
  <c r="M6" i="7"/>
  <c r="M9" i="7"/>
  <c r="M5" i="7"/>
  <c r="M8" i="7"/>
  <c r="O9" i="9"/>
  <c r="O13" i="9" s="1"/>
  <c r="P22" i="9"/>
  <c r="P23" i="9" s="1"/>
  <c r="P8" i="9"/>
  <c r="P16" i="9"/>
  <c r="P17" i="9" s="1"/>
  <c r="AE5" i="7"/>
  <c r="T47" i="7" s="1"/>
  <c r="T48" i="7" s="1"/>
  <c r="T49" i="7" s="1"/>
  <c r="S82" i="7"/>
  <c r="R47" i="7"/>
  <c r="R48" i="7" s="1"/>
  <c r="R49" i="7" s="1"/>
  <c r="T36" i="7"/>
  <c r="T80" i="7"/>
  <c r="T81" i="7" s="1"/>
  <c r="T100" i="7"/>
  <c r="T101" i="7" s="1"/>
  <c r="T102" i="7" s="1"/>
  <c r="T105" i="7" s="1"/>
  <c r="T90" i="7"/>
  <c r="T91" i="7" s="1"/>
  <c r="T92" i="7" s="1"/>
  <c r="T95" i="7" s="1"/>
  <c r="S69" i="7"/>
  <c r="S70" i="7" s="1"/>
  <c r="S93" i="7"/>
  <c r="K12" i="8" s="1"/>
  <c r="S96" i="7"/>
  <c r="S97" i="7" s="1"/>
  <c r="S103" i="7"/>
  <c r="K13" i="8" s="1"/>
  <c r="S106" i="7"/>
  <c r="S107" i="7" s="1"/>
  <c r="U34" i="7"/>
  <c r="U35" i="7" s="1"/>
  <c r="U31" i="7"/>
  <c r="U32" i="7" s="1"/>
  <c r="V30" i="7"/>
  <c r="T67" i="7"/>
  <c r="T68" i="7" s="1"/>
  <c r="T57" i="7"/>
  <c r="T58" i="7" s="1"/>
  <c r="T59" i="7" s="1"/>
  <c r="U43" i="7"/>
  <c r="J35" i="7"/>
  <c r="U55" i="7" l="1"/>
  <c r="U65" i="7"/>
  <c r="U45" i="7"/>
  <c r="S83" i="7"/>
  <c r="K11" i="8" s="1"/>
  <c r="S85" i="7"/>
  <c r="P25" i="9"/>
  <c r="AJ10" i="7" s="1"/>
  <c r="P19" i="9"/>
  <c r="AJ7" i="7" s="1"/>
  <c r="R71" i="7"/>
  <c r="T69" i="7"/>
  <c r="T66" i="7"/>
  <c r="S63" i="7"/>
  <c r="S53" i="7"/>
  <c r="AI4" i="7"/>
  <c r="S59" i="7"/>
  <c r="P9" i="9"/>
  <c r="P13" i="9" s="1"/>
  <c r="T82" i="7"/>
  <c r="S86" i="7"/>
  <c r="S87" i="7" s="1"/>
  <c r="AF5" i="7"/>
  <c r="U47" i="7" s="1"/>
  <c r="U48" i="7" s="1"/>
  <c r="U49" i="7" s="1"/>
  <c r="V34" i="7"/>
  <c r="V35" i="7" s="1"/>
  <c r="W30" i="7"/>
  <c r="V31" i="7"/>
  <c r="V32" i="7" s="1"/>
  <c r="T103" i="7"/>
  <c r="L13" i="8" s="1"/>
  <c r="T106" i="7"/>
  <c r="T107" i="7" s="1"/>
  <c r="U100" i="7"/>
  <c r="U101" i="7" s="1"/>
  <c r="U102" i="7" s="1"/>
  <c r="U105" i="7" s="1"/>
  <c r="U90" i="7"/>
  <c r="U91" i="7" s="1"/>
  <c r="U92" i="7" s="1"/>
  <c r="U95" i="7" s="1"/>
  <c r="U80" i="7"/>
  <c r="U81" i="7" s="1"/>
  <c r="U36" i="7"/>
  <c r="T37" i="7"/>
  <c r="S38" i="7"/>
  <c r="U57" i="7"/>
  <c r="U58" i="7" s="1"/>
  <c r="U67" i="7"/>
  <c r="U68" i="7" s="1"/>
  <c r="U66" i="7" s="1"/>
  <c r="V43" i="7"/>
  <c r="S49" i="7"/>
  <c r="T93" i="7"/>
  <c r="L12" i="8" s="1"/>
  <c r="T96" i="7"/>
  <c r="T97" i="7" s="1"/>
  <c r="J90" i="7"/>
  <c r="J91" i="7" s="1"/>
  <c r="J92" i="7" s="1"/>
  <c r="J93" i="7" s="1"/>
  <c r="J100" i="7"/>
  <c r="J101" i="7" s="1"/>
  <c r="J102" i="7" s="1"/>
  <c r="J103" i="7" s="1"/>
  <c r="J36" i="7"/>
  <c r="I73" i="7" s="1"/>
  <c r="J80" i="7"/>
  <c r="J81" i="7" s="1"/>
  <c r="J82" i="7" s="1"/>
  <c r="L35" i="7"/>
  <c r="R35" i="7"/>
  <c r="S36" i="7" s="1"/>
  <c r="R73" i="7" s="1"/>
  <c r="P35" i="7"/>
  <c r="M35" i="7"/>
  <c r="O35" i="7"/>
  <c r="Q35" i="7"/>
  <c r="N35" i="7"/>
  <c r="K35" i="7"/>
  <c r="V45" i="7" l="1"/>
  <c r="V55" i="7"/>
  <c r="V65" i="7"/>
  <c r="T86" i="7"/>
  <c r="T87" i="7" s="1"/>
  <c r="T85" i="7"/>
  <c r="R9" i="7"/>
  <c r="AJ8" i="7"/>
  <c r="AJ11" i="7"/>
  <c r="S10" i="7" s="1"/>
  <c r="R10" i="7"/>
  <c r="R7" i="7"/>
  <c r="R6" i="7"/>
  <c r="T72" i="7"/>
  <c r="S73" i="7"/>
  <c r="T70" i="7"/>
  <c r="S71" i="7"/>
  <c r="U72" i="7"/>
  <c r="R53" i="7"/>
  <c r="R63" i="7"/>
  <c r="J37" i="7"/>
  <c r="T53" i="7"/>
  <c r="AJ4" i="7"/>
  <c r="R5" i="7" s="1"/>
  <c r="S9" i="7"/>
  <c r="S6" i="7"/>
  <c r="T83" i="7"/>
  <c r="L11" i="8" s="1"/>
  <c r="U82" i="7"/>
  <c r="AG5" i="7"/>
  <c r="V47" i="7" s="1"/>
  <c r="V48" i="7" s="1"/>
  <c r="V49" i="7" s="1"/>
  <c r="S37" i="7"/>
  <c r="R38" i="7"/>
  <c r="U69" i="7"/>
  <c r="T71" i="7" s="1"/>
  <c r="U106" i="7"/>
  <c r="U107" i="7" s="1"/>
  <c r="U103" i="7"/>
  <c r="M13" i="8" s="1"/>
  <c r="W34" i="7"/>
  <c r="W35" i="7" s="1"/>
  <c r="X30" i="7"/>
  <c r="W31" i="7"/>
  <c r="W32" i="7" s="1"/>
  <c r="U59" i="7"/>
  <c r="U37" i="7"/>
  <c r="T38" i="7"/>
  <c r="V36" i="7"/>
  <c r="V100" i="7"/>
  <c r="V101" i="7" s="1"/>
  <c r="V102" i="7" s="1"/>
  <c r="V105" i="7" s="1"/>
  <c r="V90" i="7"/>
  <c r="V91" i="7" s="1"/>
  <c r="V92" i="7" s="1"/>
  <c r="V95" i="7" s="1"/>
  <c r="V80" i="7"/>
  <c r="V81" i="7" s="1"/>
  <c r="V67" i="7"/>
  <c r="V68" i="7" s="1"/>
  <c r="V57" i="7"/>
  <c r="V58" i="7" s="1"/>
  <c r="V59" i="7" s="1"/>
  <c r="W43" i="7"/>
  <c r="U93" i="7"/>
  <c r="M12" i="8" s="1"/>
  <c r="U96" i="7"/>
  <c r="U97" i="7" s="1"/>
  <c r="L80" i="7"/>
  <c r="L81" i="7" s="1"/>
  <c r="L82" i="7" s="1"/>
  <c r="L100" i="7"/>
  <c r="L101" i="7" s="1"/>
  <c r="L102" i="7" s="1"/>
  <c r="L105" i="7" s="1"/>
  <c r="L90" i="7"/>
  <c r="L91" i="7" s="1"/>
  <c r="L92" i="7" s="1"/>
  <c r="L95" i="7" s="1"/>
  <c r="K90" i="7"/>
  <c r="K91" i="7" s="1"/>
  <c r="K92" i="7" s="1"/>
  <c r="K100" i="7"/>
  <c r="K101" i="7" s="1"/>
  <c r="K102" i="7" s="1"/>
  <c r="M80" i="7"/>
  <c r="M81" i="7" s="1"/>
  <c r="M82" i="7" s="1"/>
  <c r="M100" i="7"/>
  <c r="M101" i="7" s="1"/>
  <c r="M102" i="7" s="1"/>
  <c r="M105" i="7" s="1"/>
  <c r="M90" i="7"/>
  <c r="M91" i="7" s="1"/>
  <c r="M92" i="7" s="1"/>
  <c r="M95" i="7" s="1"/>
  <c r="I38" i="7"/>
  <c r="Q80" i="7"/>
  <c r="Q81" i="7" s="1"/>
  <c r="Q82" i="7" s="1"/>
  <c r="Q90" i="7"/>
  <c r="Q91" i="7" s="1"/>
  <c r="Q92" i="7" s="1"/>
  <c r="Q95" i="7" s="1"/>
  <c r="Q100" i="7"/>
  <c r="Q101" i="7" s="1"/>
  <c r="Q102" i="7" s="1"/>
  <c r="Q105" i="7" s="1"/>
  <c r="R80" i="7"/>
  <c r="R81" i="7" s="1"/>
  <c r="R82" i="7" s="1"/>
  <c r="R90" i="7"/>
  <c r="R91" i="7" s="1"/>
  <c r="R92" i="7" s="1"/>
  <c r="R95" i="7" s="1"/>
  <c r="R100" i="7"/>
  <c r="R101" i="7" s="1"/>
  <c r="R102" i="7" s="1"/>
  <c r="R105" i="7" s="1"/>
  <c r="O80" i="7"/>
  <c r="O81" i="7" s="1"/>
  <c r="O82" i="7" s="1"/>
  <c r="O90" i="7"/>
  <c r="O91" i="7" s="1"/>
  <c r="O92" i="7" s="1"/>
  <c r="O95" i="7" s="1"/>
  <c r="O100" i="7"/>
  <c r="O101" i="7" s="1"/>
  <c r="O102" i="7" s="1"/>
  <c r="O105" i="7" s="1"/>
  <c r="N80" i="7"/>
  <c r="N81" i="7" s="1"/>
  <c r="N82" i="7" s="1"/>
  <c r="N90" i="7"/>
  <c r="N91" i="7" s="1"/>
  <c r="N92" i="7" s="1"/>
  <c r="N95" i="7" s="1"/>
  <c r="N100" i="7"/>
  <c r="N101" i="7" s="1"/>
  <c r="N102" i="7" s="1"/>
  <c r="N105" i="7" s="1"/>
  <c r="P80" i="7"/>
  <c r="P81" i="7" s="1"/>
  <c r="P82" i="7" s="1"/>
  <c r="P90" i="7"/>
  <c r="P91" i="7" s="1"/>
  <c r="P92" i="7" s="1"/>
  <c r="P95" i="7" s="1"/>
  <c r="P100" i="7"/>
  <c r="P101" i="7" s="1"/>
  <c r="P102" i="7" s="1"/>
  <c r="P105" i="7" s="1"/>
  <c r="J83" i="7"/>
  <c r="K36" i="7"/>
  <c r="J73" i="7" s="1"/>
  <c r="K80" i="7"/>
  <c r="K81" i="7" s="1"/>
  <c r="K82" i="7" s="1"/>
  <c r="Q36" i="7"/>
  <c r="O36" i="7"/>
  <c r="R36" i="7"/>
  <c r="L36" i="7"/>
  <c r="K73" i="7" s="1"/>
  <c r="M36" i="7"/>
  <c r="N36" i="7"/>
  <c r="P36" i="7"/>
  <c r="W65" i="7" l="1"/>
  <c r="W45" i="7"/>
  <c r="W55" i="7"/>
  <c r="O83" i="7"/>
  <c r="G11" i="8" s="1"/>
  <c r="O85" i="7"/>
  <c r="R83" i="7"/>
  <c r="J11" i="8" s="1"/>
  <c r="R85" i="7"/>
  <c r="R86" i="7" s="1"/>
  <c r="R87" i="7" s="1"/>
  <c r="L86" i="7"/>
  <c r="L87" i="7" s="1"/>
  <c r="L85" i="7"/>
  <c r="N85" i="7"/>
  <c r="N86" i="7" s="1"/>
  <c r="N87" i="7" s="1"/>
  <c r="U83" i="7"/>
  <c r="M11" i="8" s="1"/>
  <c r="U85" i="7"/>
  <c r="U86" i="7" s="1"/>
  <c r="U87" i="7" s="1"/>
  <c r="P83" i="7"/>
  <c r="H11" i="8" s="1"/>
  <c r="P85" i="7"/>
  <c r="P86" i="7" s="1"/>
  <c r="P87" i="7" s="1"/>
  <c r="Q83" i="7"/>
  <c r="I11" i="8" s="1"/>
  <c r="Q85" i="7"/>
  <c r="Q86" i="7" s="1"/>
  <c r="Q87" i="7" s="1"/>
  <c r="M83" i="7"/>
  <c r="E11" i="8" s="1"/>
  <c r="M85" i="7"/>
  <c r="M86" i="7" s="1"/>
  <c r="M87" i="7" s="1"/>
  <c r="S7" i="7"/>
  <c r="T73" i="7"/>
  <c r="U70" i="7"/>
  <c r="T63" i="7"/>
  <c r="L63" i="7"/>
  <c r="L73" i="7"/>
  <c r="P63" i="7"/>
  <c r="P73" i="7"/>
  <c r="O63" i="7"/>
  <c r="O73" i="7"/>
  <c r="Q63" i="7"/>
  <c r="Q73" i="7"/>
  <c r="M63" i="7"/>
  <c r="M73" i="7"/>
  <c r="N63" i="7"/>
  <c r="N73" i="7"/>
  <c r="V69" i="7"/>
  <c r="V66" i="7"/>
  <c r="U53" i="7"/>
  <c r="U63" i="7"/>
  <c r="M53" i="7"/>
  <c r="L53" i="7"/>
  <c r="N38" i="7"/>
  <c r="N53" i="7"/>
  <c r="Q37" i="7"/>
  <c r="P53" i="7"/>
  <c r="L37" i="7"/>
  <c r="O38" i="7"/>
  <c r="O53" i="7"/>
  <c r="R37" i="7"/>
  <c r="Q53" i="7"/>
  <c r="K37" i="7"/>
  <c r="R8" i="7"/>
  <c r="K8" i="7"/>
  <c r="V82" i="7"/>
  <c r="AH5" i="7"/>
  <c r="W47" i="7" s="1"/>
  <c r="W48" i="7" s="1"/>
  <c r="W49" i="7" s="1"/>
  <c r="V93" i="7"/>
  <c r="N12" i="8" s="1"/>
  <c r="V96" i="7"/>
  <c r="V97" i="7" s="1"/>
  <c r="X34" i="7"/>
  <c r="X35" i="7" s="1"/>
  <c r="X31" i="7"/>
  <c r="X32" i="7" s="1"/>
  <c r="Y30" i="7"/>
  <c r="W36" i="7"/>
  <c r="W100" i="7"/>
  <c r="W101" i="7" s="1"/>
  <c r="W102" i="7" s="1"/>
  <c r="W105" i="7" s="1"/>
  <c r="W90" i="7"/>
  <c r="W91" i="7" s="1"/>
  <c r="W92" i="7" s="1"/>
  <c r="W95" i="7" s="1"/>
  <c r="W80" i="7"/>
  <c r="W81" i="7" s="1"/>
  <c r="V37" i="7"/>
  <c r="U38" i="7"/>
  <c r="W67" i="7"/>
  <c r="W68" i="7" s="1"/>
  <c r="W57" i="7"/>
  <c r="W58" i="7" s="1"/>
  <c r="X43" i="7"/>
  <c r="V103" i="7"/>
  <c r="N13" i="8" s="1"/>
  <c r="V106" i="7"/>
  <c r="V107" i="7" s="1"/>
  <c r="N83" i="7"/>
  <c r="F11" i="8" s="1"/>
  <c r="L83" i="7"/>
  <c r="D11" i="8" s="1"/>
  <c r="O86" i="7"/>
  <c r="O87" i="7" s="1"/>
  <c r="N106" i="7"/>
  <c r="N107" i="7" s="1"/>
  <c r="N103" i="7"/>
  <c r="F13" i="8" s="1"/>
  <c r="O96" i="7"/>
  <c r="O97" i="7" s="1"/>
  <c r="O93" i="7"/>
  <c r="G12" i="8" s="1"/>
  <c r="P106" i="7"/>
  <c r="P107" i="7" s="1"/>
  <c r="P103" i="7"/>
  <c r="H13" i="8" s="1"/>
  <c r="N96" i="7"/>
  <c r="N97" i="7" s="1"/>
  <c r="N93" i="7"/>
  <c r="F12" i="8" s="1"/>
  <c r="Q106" i="7"/>
  <c r="Q107" i="7" s="1"/>
  <c r="Q103" i="7"/>
  <c r="I13" i="8" s="1"/>
  <c r="M96" i="7"/>
  <c r="M97" i="7" s="1"/>
  <c r="M93" i="7"/>
  <c r="E12" i="8" s="1"/>
  <c r="K93" i="7"/>
  <c r="C12" i="8" s="1"/>
  <c r="K95" i="7"/>
  <c r="K96" i="7" s="1"/>
  <c r="K97" i="7" s="1"/>
  <c r="P96" i="7"/>
  <c r="P97" i="7" s="1"/>
  <c r="P93" i="7"/>
  <c r="H12" i="8" s="1"/>
  <c r="R106" i="7"/>
  <c r="R107" i="7" s="1"/>
  <c r="R103" i="7"/>
  <c r="Q96" i="7"/>
  <c r="Q97" i="7" s="1"/>
  <c r="Q93" i="7"/>
  <c r="I12" i="8" s="1"/>
  <c r="M106" i="7"/>
  <c r="M107" i="7" s="1"/>
  <c r="M103" i="7"/>
  <c r="E13" i="8" s="1"/>
  <c r="L96" i="7"/>
  <c r="L97" i="7" s="1"/>
  <c r="L93" i="7"/>
  <c r="D12" i="8" s="1"/>
  <c r="O103" i="7"/>
  <c r="G13" i="8" s="1"/>
  <c r="O106" i="7"/>
  <c r="O107" i="7" s="1"/>
  <c r="R96" i="7"/>
  <c r="R97" i="7" s="1"/>
  <c r="R93" i="7"/>
  <c r="L106" i="7"/>
  <c r="L107" i="7" s="1"/>
  <c r="L103" i="7"/>
  <c r="D13" i="8" s="1"/>
  <c r="K103" i="7"/>
  <c r="C13" i="8" s="1"/>
  <c r="K105" i="7"/>
  <c r="K106" i="7" s="1"/>
  <c r="K107" i="7" s="1"/>
  <c r="J38" i="7"/>
  <c r="K83" i="7"/>
  <c r="C11" i="8" s="1"/>
  <c r="K85" i="7"/>
  <c r="K86" i="7" s="1"/>
  <c r="K87" i="7" s="1"/>
  <c r="P38" i="7"/>
  <c r="Q38" i="7"/>
  <c r="O37" i="7"/>
  <c r="K38" i="7"/>
  <c r="M38" i="7"/>
  <c r="L38" i="7"/>
  <c r="P37" i="7"/>
  <c r="M37" i="7"/>
  <c r="N37" i="7"/>
  <c r="X55" i="7" l="1"/>
  <c r="X65" i="7"/>
  <c r="X45" i="7"/>
  <c r="V83" i="7"/>
  <c r="N11" i="8" s="1"/>
  <c r="V85" i="7"/>
  <c r="V86" i="7" s="1"/>
  <c r="V87" i="7" s="1"/>
  <c r="D73" i="7"/>
  <c r="J7" i="7" s="1"/>
  <c r="U73" i="7"/>
  <c r="V70" i="7"/>
  <c r="U71" i="7"/>
  <c r="V72" i="7"/>
  <c r="W69" i="7"/>
  <c r="W66" i="7"/>
  <c r="V53" i="7"/>
  <c r="J12" i="8"/>
  <c r="K9" i="7"/>
  <c r="J13" i="8"/>
  <c r="K10" i="7"/>
  <c r="W82" i="7"/>
  <c r="AI5" i="7"/>
  <c r="X47" i="7" s="1"/>
  <c r="X48" i="7" s="1"/>
  <c r="X49" i="7" s="1"/>
  <c r="AJ5" i="7"/>
  <c r="W103" i="7"/>
  <c r="O13" i="8" s="1"/>
  <c r="W106" i="7"/>
  <c r="W107" i="7" s="1"/>
  <c r="X36" i="7"/>
  <c r="X80" i="7"/>
  <c r="X81" i="7" s="1"/>
  <c r="X90" i="7"/>
  <c r="X91" i="7" s="1"/>
  <c r="X92" i="7" s="1"/>
  <c r="X95" i="7" s="1"/>
  <c r="X100" i="7"/>
  <c r="X101" i="7" s="1"/>
  <c r="X102" i="7" s="1"/>
  <c r="X105" i="7" s="1"/>
  <c r="X67" i="7"/>
  <c r="X68" i="7" s="1"/>
  <c r="X57" i="7"/>
  <c r="X58" i="7" s="1"/>
  <c r="X59" i="7" s="1"/>
  <c r="Y43" i="7"/>
  <c r="Y31" i="7"/>
  <c r="Y32" i="7" s="1"/>
  <c r="Y38" i="7" s="1"/>
  <c r="Y34" i="7"/>
  <c r="Y35" i="7" s="1"/>
  <c r="W59" i="7"/>
  <c r="W37" i="7"/>
  <c r="V38" i="7"/>
  <c r="W93" i="7"/>
  <c r="O12" i="8" s="1"/>
  <c r="W96" i="7"/>
  <c r="W97" i="7" s="1"/>
  <c r="D97" i="7"/>
  <c r="H9" i="7" s="1"/>
  <c r="I9" i="7" s="1"/>
  <c r="D107" i="7"/>
  <c r="H10" i="7" s="1"/>
  <c r="I10" i="7" s="1"/>
  <c r="Y55" i="7" l="1"/>
  <c r="Y65" i="7"/>
  <c r="Y45" i="7"/>
  <c r="W83" i="7"/>
  <c r="O11" i="8" s="1"/>
  <c r="W85" i="7"/>
  <c r="V73" i="7"/>
  <c r="W70" i="7"/>
  <c r="V71" i="7"/>
  <c r="W72" i="7"/>
  <c r="V63" i="7"/>
  <c r="X69" i="7"/>
  <c r="X66" i="7"/>
  <c r="W63" i="7"/>
  <c r="W53" i="7"/>
  <c r="X82" i="7"/>
  <c r="S5" i="7"/>
  <c r="S8" i="7"/>
  <c r="W86" i="7"/>
  <c r="W87" i="7" s="1"/>
  <c r="X37" i="7"/>
  <c r="W38" i="7"/>
  <c r="Y100" i="7"/>
  <c r="Y101" i="7" s="1"/>
  <c r="Y102" i="7" s="1"/>
  <c r="Y105" i="7" s="1"/>
  <c r="Y90" i="7"/>
  <c r="Y91" i="7" s="1"/>
  <c r="Y92" i="7" s="1"/>
  <c r="Y95" i="7" s="1"/>
  <c r="Y80" i="7"/>
  <c r="Y81" i="7" s="1"/>
  <c r="Y82" i="7" s="1"/>
  <c r="Y85" i="7" s="1"/>
  <c r="Y36" i="7"/>
  <c r="Y57" i="7"/>
  <c r="Y58" i="7" s="1"/>
  <c r="Y59" i="7" s="1"/>
  <c r="Y67" i="7"/>
  <c r="Y68" i="7" s="1"/>
  <c r="Y47" i="7"/>
  <c r="Y48" i="7" s="1"/>
  <c r="Y49" i="7" s="1"/>
  <c r="X103" i="7"/>
  <c r="X106" i="7"/>
  <c r="X107" i="7" s="1"/>
  <c r="X93" i="7"/>
  <c r="X96" i="7"/>
  <c r="X97" i="7" s="1"/>
  <c r="P9" i="7" s="1"/>
  <c r="D87" i="7"/>
  <c r="H8" i="7" s="1"/>
  <c r="I8" i="7" s="1"/>
  <c r="X83" i="7" l="1"/>
  <c r="P11" i="8" s="1"/>
  <c r="X85" i="7"/>
  <c r="X86" i="7" s="1"/>
  <c r="X87" i="7" s="1"/>
  <c r="P10" i="7"/>
  <c r="N10" i="7"/>
  <c r="O10" i="7" s="1"/>
  <c r="N9" i="7"/>
  <c r="O9" i="7" s="1"/>
  <c r="X70" i="7"/>
  <c r="W73" i="7"/>
  <c r="W71" i="7"/>
  <c r="X72" i="7"/>
  <c r="N7" i="7" s="1"/>
  <c r="O7" i="7" s="1"/>
  <c r="Y69" i="7"/>
  <c r="X73" i="7" s="1"/>
  <c r="Y66" i="7"/>
  <c r="X63" i="7"/>
  <c r="X53" i="7"/>
  <c r="Q8" i="7"/>
  <c r="P12" i="8"/>
  <c r="Q9" i="7"/>
  <c r="P13" i="8"/>
  <c r="Q10" i="7"/>
  <c r="Y83" i="7"/>
  <c r="Q11" i="8" s="1"/>
  <c r="Y86" i="7"/>
  <c r="Y87" i="7" s="1"/>
  <c r="Y93" i="7"/>
  <c r="Q12" i="8" s="1"/>
  <c r="Y96" i="7"/>
  <c r="Y97" i="7" s="1"/>
  <c r="Y37" i="7"/>
  <c r="X38" i="7"/>
  <c r="Y103" i="7"/>
  <c r="Q13" i="8" s="1"/>
  <c r="Y106" i="7"/>
  <c r="Y107" i="7" s="1"/>
  <c r="K48" i="7"/>
  <c r="P8" i="7" l="1"/>
  <c r="N8" i="7"/>
  <c r="O8" i="7" s="1"/>
  <c r="P7" i="7"/>
  <c r="X71" i="7"/>
  <c r="Y46" i="7"/>
  <c r="L46" i="7"/>
  <c r="O46" i="7"/>
  <c r="M46" i="7"/>
  <c r="N46" i="7"/>
  <c r="P46" i="7"/>
  <c r="S46" i="7"/>
  <c r="Q46" i="7"/>
  <c r="R46" i="7"/>
  <c r="T46" i="7"/>
  <c r="W46" i="7"/>
  <c r="U46" i="7"/>
  <c r="V46" i="7"/>
  <c r="X46" i="7"/>
  <c r="L49" i="7"/>
  <c r="O52" i="7" l="1"/>
  <c r="O51" i="7"/>
  <c r="O50" i="7"/>
  <c r="W52" i="7"/>
  <c r="W51" i="7"/>
  <c r="W50" i="7"/>
  <c r="X52" i="7"/>
  <c r="X51" i="7"/>
  <c r="X50" i="7"/>
  <c r="T52" i="7"/>
  <c r="T51" i="7"/>
  <c r="T50" i="7"/>
  <c r="P52" i="7"/>
  <c r="P51" i="7"/>
  <c r="P50" i="7"/>
  <c r="L52" i="7"/>
  <c r="L51" i="7"/>
  <c r="S52" i="7"/>
  <c r="S51" i="7"/>
  <c r="S50" i="7"/>
  <c r="L50" i="7"/>
  <c r="K51" i="7"/>
  <c r="V52" i="7"/>
  <c r="V51" i="7"/>
  <c r="V50" i="7"/>
  <c r="R52" i="7"/>
  <c r="R51" i="7"/>
  <c r="R50" i="7"/>
  <c r="N52" i="7"/>
  <c r="N51" i="7"/>
  <c r="N50" i="7"/>
  <c r="U52" i="7"/>
  <c r="U51" i="7"/>
  <c r="U50" i="7"/>
  <c r="Q52" i="7"/>
  <c r="Q51" i="7"/>
  <c r="Q50" i="7"/>
  <c r="M52" i="7"/>
  <c r="M51" i="7"/>
  <c r="M50" i="7"/>
  <c r="K53" i="7"/>
  <c r="J48" i="7"/>
  <c r="N5" i="7" l="1"/>
  <c r="O5" i="7" s="1"/>
  <c r="D53" i="7"/>
  <c r="J5" i="7" s="1"/>
  <c r="D52" i="7"/>
  <c r="H5" i="7" s="1"/>
  <c r="I5" i="7" s="1"/>
  <c r="J49" i="7"/>
  <c r="K49" i="7"/>
  <c r="I53" i="7" l="1"/>
  <c r="J50" i="7"/>
  <c r="I51" i="7"/>
  <c r="J53" i="7"/>
  <c r="K50" i="7"/>
  <c r="J51" i="7"/>
  <c r="J58" i="7"/>
  <c r="J59" i="7" s="1"/>
  <c r="P5" i="7" l="1"/>
  <c r="I63" i="7"/>
  <c r="J60" i="7"/>
  <c r="I61" i="7"/>
  <c r="K58" i="7"/>
  <c r="N56" i="7" l="1"/>
  <c r="Q56" i="7"/>
  <c r="M56" i="7"/>
  <c r="R56" i="7"/>
  <c r="P56" i="7"/>
  <c r="U56" i="7"/>
  <c r="L56" i="7"/>
  <c r="V56" i="7"/>
  <c r="W56" i="7"/>
  <c r="X56" i="7"/>
  <c r="Y56" i="7"/>
  <c r="Y60" i="7" s="1"/>
  <c r="S56" i="7"/>
  <c r="T56" i="7"/>
  <c r="O56" i="7"/>
  <c r="L59" i="7"/>
  <c r="K59" i="7"/>
  <c r="S62" i="7" l="1"/>
  <c r="S61" i="7"/>
  <c r="S60" i="7"/>
  <c r="R62" i="7"/>
  <c r="R61" i="7"/>
  <c r="R60" i="7"/>
  <c r="K63" i="7"/>
  <c r="L60" i="7"/>
  <c r="K61" i="7"/>
  <c r="L62" i="7"/>
  <c r="L61" i="7"/>
  <c r="O62" i="7"/>
  <c r="O61" i="7"/>
  <c r="O60" i="7"/>
  <c r="Q62" i="7"/>
  <c r="Q61" i="7"/>
  <c r="Q60" i="7"/>
  <c r="J63" i="7"/>
  <c r="K60" i="7"/>
  <c r="J61" i="7"/>
  <c r="V62" i="7"/>
  <c r="V61" i="7"/>
  <c r="V60" i="7"/>
  <c r="M62" i="7"/>
  <c r="M61" i="7"/>
  <c r="M60" i="7"/>
  <c r="X62" i="7"/>
  <c r="X61" i="7"/>
  <c r="X60" i="7"/>
  <c r="U62" i="7"/>
  <c r="U61" i="7"/>
  <c r="U60" i="7"/>
  <c r="T62" i="7"/>
  <c r="T61" i="7"/>
  <c r="T60" i="7"/>
  <c r="W62" i="7"/>
  <c r="W61" i="7"/>
  <c r="W60" i="7"/>
  <c r="P62" i="7"/>
  <c r="P61" i="7"/>
  <c r="P60" i="7"/>
  <c r="N62" i="7"/>
  <c r="N61" i="7"/>
  <c r="N60" i="7"/>
  <c r="N6" i="7" l="1"/>
  <c r="O6" i="7" s="1"/>
  <c r="D63" i="7"/>
  <c r="J6" i="7" s="1"/>
  <c r="P6" i="7"/>
  <c r="D62" i="7"/>
  <c r="H6" i="7" s="1"/>
  <c r="I6" i="7" s="1"/>
</calcChain>
</file>

<file path=xl/sharedStrings.xml><?xml version="1.0" encoding="utf-8"?>
<sst xmlns="http://schemas.openxmlformats.org/spreadsheetml/2006/main" count="211" uniqueCount="120">
  <si>
    <t>Input</t>
  </si>
  <si>
    <t>Outputs</t>
  </si>
  <si>
    <t>Year</t>
  </si>
  <si>
    <t>GSF</t>
  </si>
  <si>
    <t>2028 Results</t>
  </si>
  <si>
    <t>2035 Results (extrapolation)</t>
  </si>
  <si>
    <t>I) 100% target reached of climate objective</t>
  </si>
  <si>
    <t>Extrapolation (to be consolidated), 15% growth continuing</t>
  </si>
  <si>
    <t>Green share of inflows 2022</t>
  </si>
  <si>
    <t>Annual surplus net result (average 2022-2027)</t>
  </si>
  <si>
    <t>Evolution in proportion</t>
  </si>
  <si>
    <t>Annual freed capital (average 2022-2027) (€bn)</t>
  </si>
  <si>
    <t>Effect on the credit</t>
  </si>
  <si>
    <t xml:space="preserve">Portfolio share applied GSF </t>
  </si>
  <si>
    <t xml:space="preserve">Requirement alleviation </t>
  </si>
  <si>
    <t>Green share</t>
  </si>
  <si>
    <t xml:space="preserve">Minimum recapitalisation </t>
  </si>
  <si>
    <t>Voluntarist</t>
  </si>
  <si>
    <t>Requirements alleviation</t>
  </si>
  <si>
    <t>Part inflows/balance sheet</t>
  </si>
  <si>
    <t>5 years of delay</t>
  </si>
  <si>
    <t>II) Scenario 5 year delay</t>
  </si>
  <si>
    <t>Extrapolation (to be consolidated), 11% growth continuing</t>
  </si>
  <si>
    <t>Growth rate 2022-2028</t>
  </si>
  <si>
    <t>Growth rate 2029-2035</t>
  </si>
  <si>
    <t>No effort</t>
  </si>
  <si>
    <t>Balance sheet growth</t>
  </si>
  <si>
    <t>III) Scenario no effort</t>
  </si>
  <si>
    <t>Extrapolation (to be consolidated), growth at trend rate</t>
  </si>
  <si>
    <r>
      <rPr>
        <b/>
        <sz val="11"/>
        <color theme="1"/>
        <rFont val="Calibri"/>
        <family val="2"/>
        <scheme val="minor"/>
      </rPr>
      <t>Base scenario (which will serve as a counterfactual):</t>
    </r>
    <r>
      <rPr>
        <sz val="11"/>
        <color theme="1"/>
        <rFont val="Calibri"/>
        <family val="2"/>
        <scheme val="minor"/>
      </rPr>
      <t xml:space="preserve"> Growth of the bank balance sheet at a fixed rate at entry, a stable margin over time (19%), RWA as a proportion of the balance sheet stable over time (35%), and a stable capital/RWA ratio over time at 14.4%.</t>
    </r>
  </si>
  <si>
    <t xml:space="preserve">We study the entire French banking sector and assume a growth in the bank balance sheet of 4% per year	</t>
  </si>
  <si>
    <t>Ratio RWA/balance sheet</t>
  </si>
  <si>
    <t>growth balance sheet / year</t>
  </si>
  <si>
    <t>Banking balance sheet</t>
  </si>
  <si>
    <t>Ratio NBI/assets</t>
  </si>
  <si>
    <t>NBI</t>
  </si>
  <si>
    <t>Ratio results/NBI</t>
  </si>
  <si>
    <t>Results</t>
  </si>
  <si>
    <t>For sources of financial data from D16 to D19, see "Panorama des banques françaises", ACPR, 2019. Note: the CET1 value does not correspond to the total equity value of the 6 banking groups. For that, one would have to take the total capital ratio but it is not given in the report. The I32/I35 value does not therefore give a value for ROE.</t>
  </si>
  <si>
    <t>RWA</t>
  </si>
  <si>
    <t>Equity CET1 before GSF</t>
  </si>
  <si>
    <t>Raise of capital per year</t>
  </si>
  <si>
    <t>Percentage of result used for capital increase</t>
  </si>
  <si>
    <t>Annual result - capital increase</t>
  </si>
  <si>
    <t>Strategy 1: Continued balance sheet growth in line with the trend The GSF/BPF comes into effect in 2021, leading to lower RWAs and therefore lower recapitalization needs</t>
  </si>
  <si>
    <t>The balance sheet grows at the trend rate, the GNP and the result are identical to the forecasts of the baseline scenario</t>
  </si>
  <si>
    <t>Bilan bancaire</t>
  </si>
  <si>
    <t>Entry into force in 2022 of the GSF on inflows</t>
  </si>
  <si>
    <t>Voluntary scenario: banks are paid for their climate strategy</t>
  </si>
  <si>
    <t>Key message: the gain is progressive over the first 8 years</t>
  </si>
  <si>
    <t>Capital</t>
  </si>
  <si>
    <t>Capital increase per year</t>
  </si>
  <si>
    <t>Comparison of the result</t>
  </si>
  <si>
    <t>Paid-up capital (annual on right, total on left)</t>
  </si>
  <si>
    <t>Scenario 5 years of delay</t>
  </si>
  <si>
    <t>Key messages: benefits are spread over the years of implementation (+5%/year over 7 years), and perpetual gain (1.5%) compared to the baseline scenario</t>
  </si>
  <si>
    <t>Capital pre GSF</t>
  </si>
  <si>
    <t>No effort Scenario</t>
  </si>
  <si>
    <t>Key messages: the initial cost is significant but this is smoothed out for the future</t>
  </si>
  <si>
    <t>We study the entire French banking sector and assume a growth in the bank balance sheet of 4% per year</t>
  </si>
  <si>
    <t>Voluntary scenario: the GSF is applied to inflows</t>
  </si>
  <si>
    <t>Balance sheet, NBI and result grow in line with the recapitalisations foreseen in the baseline scenario</t>
  </si>
  <si>
    <t>Balance sheet</t>
  </si>
  <si>
    <t>Differential to baseline scenario</t>
  </si>
  <si>
    <t>Profits from net income growth (annual on right, over 2020-2026 on left)</t>
  </si>
  <si>
    <t>Scenario no effort</t>
  </si>
  <si>
    <t>Key messages: increased earnings do not result in an immediate benefit, but in the long term may result in a much larger outcome than expected on a trend basis</t>
  </si>
  <si>
    <t xml:space="preserve">Depending on the banks' strategies, the GSF can have an effect on the supply of loans. CAUTION, this is not a certain effect, and it is only realised if the bank chooses to reinvest the capital freed up by the reductions in prudential requirements in new lending. Here we show the credit effects under such strategies, this is an upper bound on credit effects. We display the results according to the investment scenarios in the banks						
			</t>
  </si>
  <si>
    <t xml:space="preserve"> I4CE Forcasts</t>
  </si>
  <si>
    <t>EXTRAPOLATION</t>
  </si>
  <si>
    <t>Volontary</t>
  </si>
  <si>
    <t>Late</t>
  </si>
  <si>
    <t>Balance sheet growth (base 100 in 2022)</t>
  </si>
  <si>
    <t>Incoming flows (10% of balance sheet is renewed each year)</t>
  </si>
  <si>
    <t xml:space="preserve">Voluntary Scenario </t>
  </si>
  <si>
    <t>Volume on green investments (base 100 in 2022)</t>
  </si>
  <si>
    <t>Share of eligible green portfolio (incoming flows)</t>
  </si>
  <si>
    <t>Annual green investments</t>
  </si>
  <si>
    <t>Share of expired loans</t>
  </si>
  <si>
    <t xml:space="preserve">Share of total green portfolio </t>
  </si>
  <si>
    <t>5 years late Scenario</t>
  </si>
  <si>
    <t xml:space="preserve">No effort Scenario </t>
  </si>
  <si>
    <t>Calculation of the average maturity of climate investments between 2016 and 2028 (Source: https://www.i4ce.org/wp-core/wp-content/uploads/2020/07/I4CE-Relance_FinancementActionClimat-52p-2.pdf , pp45-47)</t>
  </si>
  <si>
    <t>2016-2018</t>
  </si>
  <si>
    <t>2019-2023</t>
  </si>
  <si>
    <t>2024-2028</t>
  </si>
  <si>
    <t>Maturity</t>
  </si>
  <si>
    <t>Energy retroffiting</t>
  </si>
  <si>
    <t>Private renovation</t>
  </si>
  <si>
    <t>Social housing renovation</t>
  </si>
  <si>
    <t>Tertiary sector renovation</t>
  </si>
  <si>
    <t>Neuf</t>
  </si>
  <si>
    <t>TOTAL</t>
  </si>
  <si>
    <t>Percentage</t>
  </si>
  <si>
    <t>Transports</t>
  </si>
  <si>
    <t>Urban public transportation</t>
  </si>
  <si>
    <t>Rail</t>
  </si>
  <si>
    <t>Cycle</t>
  </si>
  <si>
    <t>Low carbon private vehicule</t>
  </si>
  <si>
    <t>Low carbon utility vehicule</t>
  </si>
  <si>
    <t xml:space="preserve">Electricity Production </t>
  </si>
  <si>
    <t xml:space="preserve">Gaz Production </t>
  </si>
  <si>
    <t>Heat networks</t>
  </si>
  <si>
    <t>Maturity (in years)</t>
  </si>
  <si>
    <r>
      <t xml:space="preserve">This appendix allows us to calculate the growth rates that are consistent with our scenarios </t>
    </r>
    <r>
      <rPr>
        <b/>
        <sz val="11"/>
        <color theme="1"/>
        <rFont val="Calibri"/>
        <family val="2"/>
        <scheme val="minor"/>
      </rPr>
      <t xml:space="preserve">i) Voluntary climate action ii) 5 years behind the climate targets iii) No climate outcome		</t>
    </r>
    <r>
      <rPr>
        <sz val="11"/>
        <color theme="1"/>
        <rFont val="Calibri"/>
        <family val="2"/>
        <scheme val="minor"/>
      </rPr>
      <t xml:space="preserve">	</t>
    </r>
  </si>
  <si>
    <r>
      <t xml:space="preserve">The following growth rates are obtained: i) </t>
    </r>
    <r>
      <rPr>
        <b/>
        <sz val="11"/>
        <color rgb="FFFF0000"/>
        <rFont val="Calibri"/>
        <family val="2"/>
        <scheme val="minor"/>
      </rPr>
      <t>20</t>
    </r>
    <r>
      <rPr>
        <sz val="11"/>
        <color theme="1"/>
        <rFont val="Calibri"/>
        <family val="2"/>
        <scheme val="minor"/>
      </rPr>
      <t xml:space="preserve">% for the voluntarist scenario, ii) </t>
    </r>
    <r>
      <rPr>
        <b/>
        <sz val="11"/>
        <color rgb="FFFF0000"/>
        <rFont val="Calibri"/>
        <family val="2"/>
        <scheme val="minor"/>
      </rPr>
      <t>10</t>
    </r>
    <r>
      <rPr>
        <sz val="11"/>
        <color theme="1"/>
        <rFont val="Calibri"/>
        <family val="2"/>
        <scheme val="minor"/>
      </rPr>
      <t>% for the lagging scenario iii) trend growth (</t>
    </r>
    <r>
      <rPr>
        <b/>
        <sz val="11"/>
        <color rgb="FFFF0000"/>
        <rFont val="Calibri"/>
        <family val="2"/>
        <scheme val="minor"/>
      </rPr>
      <t>3-4</t>
    </r>
    <r>
      <rPr>
        <sz val="11"/>
        <color theme="1"/>
        <rFont val="Calibri"/>
        <family val="2"/>
        <scheme val="minor"/>
      </rPr>
      <t xml:space="preserve">%) for the no effort scenario	</t>
    </r>
  </si>
  <si>
    <t>I) CLIMATE TARGET ACHIEVEMENT: (see Source) + calculation to extrapolate by year (growth rate of 25% over 208-2019), 20% over 2020-2024, 18% over 2024-2028</t>
  </si>
  <si>
    <t>Average target ratio</t>
  </si>
  <si>
    <t>Average obtained in Bn€/year</t>
  </si>
  <si>
    <t>Inv Bn€/year</t>
  </si>
  <si>
    <t>II) 5 years behind target: (see Source) + calculation to extrapolate by year (10% growth rate per year)</t>
  </si>
  <si>
    <t>III) No effort: 2016-2018 values extended in time</t>
  </si>
  <si>
    <t>Incoming flows in trend growth at 3% (Base 100 in 2022)</t>
  </si>
  <si>
    <t>Green investment volume (Base 100 in 2022)</t>
  </si>
  <si>
    <t>Green share of portfolio</t>
  </si>
  <si>
    <t>Balance sheet (base 100 in 2022)</t>
  </si>
  <si>
    <t>Incoming flows related to the 2022 balance</t>
  </si>
  <si>
    <t>Green share of incoming flows</t>
  </si>
  <si>
    <t>Green inflow in relation to the 2022 balance sheet</t>
  </si>
  <si>
    <t>Green outflow reported to 2022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</si>
</sst>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000"/>
  </numFmts>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12"/>
      <color theme="1"/>
      <name val="Calibri"/>
      <family val="2"/>
      <scheme val="minor"/>
    </font>
    <font>
      <b/>
      <sz val="16"/>
      <color theme="1"/>
      <name val="Calibri"/>
      <family val="2"/>
      <scheme val="minor"/>
    </font>
    <font>
      <sz val="12"/>
      <color theme="1"/>
      <name val="Calibri"/>
      <family val="2"/>
      <scheme val="minor"/>
    </font>
    <font>
      <sz val="14"/>
      <color theme="1"/>
      <name val="Calibri"/>
      <family val="2"/>
      <scheme val="minor"/>
    </font>
    <font>
      <b/>
      <u/>
      <sz val="14"/>
      <color theme="1"/>
      <name val="Calibri"/>
      <family val="2"/>
      <scheme val="minor"/>
    </font>
    <font>
      <b/>
      <sz val="14"/>
      <color rgb="FFFF0000"/>
      <name val="Calibri"/>
      <family val="2"/>
      <scheme val="minor"/>
    </font>
    <font>
      <sz val="8"/>
      <name val="Calibri"/>
      <family val="2"/>
      <scheme val="minor"/>
    </font>
    <font>
      <b/>
      <sz val="11"/>
      <color theme="1" tint="4.9989318521683403E-2"/>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7"/>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20">
    <xf numFmtId="0" fontId="0" fillId="0" borderId="0" xfId="0"/>
    <xf numFmtId="0" fontId="0" fillId="0" borderId="1" xfId="0" applyBorder="1"/>
    <xf numFmtId="164" fontId="0" fillId="0" borderId="1" xfId="1" applyNumberFormat="1" applyFont="1" applyBorder="1"/>
    <xf numFmtId="0" fontId="3" fillId="0" borderId="1" xfId="0" applyFont="1" applyBorder="1"/>
    <xf numFmtId="0" fontId="2" fillId="0" borderId="1" xfId="0" applyFont="1" applyBorder="1"/>
    <xf numFmtId="9" fontId="0" fillId="0" borderId="1" xfId="1" applyFont="1" applyBorder="1"/>
    <xf numFmtId="0" fontId="4" fillId="0" borderId="1" xfId="0" applyFont="1" applyBorder="1"/>
    <xf numFmtId="0" fontId="3" fillId="0" borderId="1" xfId="0" applyFont="1" applyFill="1" applyBorder="1" applyAlignment="1">
      <alignment wrapText="1"/>
    </xf>
    <xf numFmtId="165" fontId="0" fillId="0" borderId="1" xfId="0" applyNumberFormat="1" applyBorder="1"/>
    <xf numFmtId="165" fontId="2" fillId="0" borderId="1" xfId="0" applyNumberFormat="1" applyFont="1" applyBorder="1"/>
    <xf numFmtId="165" fontId="3" fillId="0" borderId="1" xfId="0" applyNumberFormat="1" applyFont="1" applyBorder="1"/>
    <xf numFmtId="0" fontId="0" fillId="0" borderId="1" xfId="0" applyBorder="1" applyAlignment="1">
      <alignment wrapText="1"/>
    </xf>
    <xf numFmtId="0" fontId="3" fillId="0" borderId="2" xfId="0" applyFont="1" applyBorder="1"/>
    <xf numFmtId="165" fontId="3" fillId="0" borderId="0" xfId="0" applyNumberFormat="1" applyFont="1"/>
    <xf numFmtId="0" fontId="0" fillId="0" borderId="1" xfId="0" applyFont="1" applyFill="1" applyBorder="1" applyAlignment="1">
      <alignment wrapText="1"/>
    </xf>
    <xf numFmtId="0" fontId="0" fillId="0" borderId="1" xfId="0" applyFont="1" applyBorder="1"/>
    <xf numFmtId="165" fontId="0" fillId="0" borderId="1" xfId="0" applyNumberFormat="1" applyFont="1" applyBorder="1"/>
    <xf numFmtId="0" fontId="0" fillId="3" borderId="1" xfId="0" applyFill="1" applyBorder="1"/>
    <xf numFmtId="165" fontId="0" fillId="3" borderId="1" xfId="1" applyNumberFormat="1" applyFont="1" applyFill="1" applyBorder="1"/>
    <xf numFmtId="165" fontId="0" fillId="3" borderId="1" xfId="0" applyNumberFormat="1" applyFill="1" applyBorder="1"/>
    <xf numFmtId="165" fontId="2" fillId="3" borderId="1" xfId="0" applyNumberFormat="1" applyFont="1" applyFill="1" applyBorder="1"/>
    <xf numFmtId="0" fontId="0" fillId="0" borderId="1" xfId="0" applyFont="1" applyBorder="1" applyAlignment="1">
      <alignment wrapText="1"/>
    </xf>
    <xf numFmtId="0" fontId="3" fillId="4"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0" fontId="0" fillId="0" borderId="6" xfId="0" applyFill="1" applyBorder="1" applyAlignment="1">
      <alignment wrapText="1"/>
    </xf>
    <xf numFmtId="9" fontId="0" fillId="3" borderId="1" xfId="1" applyFont="1" applyFill="1" applyBorder="1"/>
    <xf numFmtId="10" fontId="0" fillId="0" borderId="0" xfId="1" applyNumberFormat="1" applyFont="1"/>
    <xf numFmtId="2" fontId="3" fillId="0" borderId="1" xfId="0" applyNumberFormat="1" applyFont="1" applyBorder="1"/>
    <xf numFmtId="0" fontId="0" fillId="0" borderId="0" xfId="0" applyBorder="1"/>
    <xf numFmtId="0" fontId="3" fillId="0" borderId="0" xfId="0" applyFont="1"/>
    <xf numFmtId="0" fontId="0" fillId="0" borderId="0" xfId="0" applyBorder="1" applyAlignment="1">
      <alignment wrapText="1"/>
    </xf>
    <xf numFmtId="9" fontId="3" fillId="0" borderId="0" xfId="1" applyFont="1"/>
    <xf numFmtId="9" fontId="3" fillId="0" borderId="1" xfId="1" applyFont="1" applyBorder="1"/>
    <xf numFmtId="164" fontId="3" fillId="0" borderId="1" xfId="1" applyNumberFormat="1" applyFont="1" applyBorder="1"/>
    <xf numFmtId="0" fontId="0" fillId="0" borderId="0" xfId="0" applyAlignment="1">
      <alignment horizontal="left" vertical="center" wrapText="1"/>
    </xf>
    <xf numFmtId="0" fontId="0" fillId="0" borderId="0" xfId="0" applyAlignment="1">
      <alignment vertical="center" wrapText="1"/>
    </xf>
    <xf numFmtId="164" fontId="3" fillId="0" borderId="0" xfId="1" applyNumberFormat="1" applyFont="1" applyBorder="1"/>
    <xf numFmtId="0" fontId="0" fillId="5" borderId="1" xfId="0" applyFill="1" applyBorder="1"/>
    <xf numFmtId="0" fontId="0" fillId="0" borderId="3" xfId="0" applyBorder="1"/>
    <xf numFmtId="165" fontId="0" fillId="0" borderId="3" xfId="0" applyNumberFormat="1" applyBorder="1"/>
    <xf numFmtId="0" fontId="0" fillId="6" borderId="17" xfId="0" applyFill="1" applyBorder="1" applyAlignment="1">
      <alignment vertical="center"/>
    </xf>
    <xf numFmtId="0" fontId="0" fillId="5" borderId="0" xfId="0" applyFill="1" applyBorder="1" applyAlignment="1"/>
    <xf numFmtId="164" fontId="0" fillId="0" borderId="14" xfId="1" applyNumberFormat="1" applyFont="1" applyBorder="1"/>
    <xf numFmtId="0" fontId="4" fillId="0" borderId="14" xfId="0" applyFont="1" applyBorder="1"/>
    <xf numFmtId="0" fontId="0" fillId="7" borderId="0" xfId="0" applyFill="1" applyBorder="1" applyAlignment="1"/>
    <xf numFmtId="0" fontId="0" fillId="2" borderId="11" xfId="0" applyFill="1" applyBorder="1"/>
    <xf numFmtId="0" fontId="0" fillId="2" borderId="12" xfId="0" applyFill="1" applyBorder="1"/>
    <xf numFmtId="0" fontId="0" fillId="3" borderId="13" xfId="0" applyFill="1" applyBorder="1"/>
    <xf numFmtId="165" fontId="0" fillId="3" borderId="14" xfId="0" applyNumberFormat="1" applyFill="1" applyBorder="1"/>
    <xf numFmtId="0" fontId="0" fillId="0" borderId="14" xfId="0" applyBorder="1"/>
    <xf numFmtId="165" fontId="0" fillId="0" borderId="14" xfId="0" applyNumberFormat="1" applyBorder="1"/>
    <xf numFmtId="165" fontId="0" fillId="0" borderId="0" xfId="0" applyNumberFormat="1" applyBorder="1"/>
    <xf numFmtId="165" fontId="3" fillId="0" borderId="0" xfId="0" applyNumberFormat="1" applyFont="1" applyBorder="1"/>
    <xf numFmtId="165" fontId="3" fillId="0" borderId="25" xfId="0" applyNumberFormat="1" applyFont="1" applyBorder="1"/>
    <xf numFmtId="164" fontId="0" fillId="0" borderId="0" xfId="1" applyNumberFormat="1" applyFont="1" applyBorder="1"/>
    <xf numFmtId="9" fontId="0" fillId="3" borderId="14" xfId="1" applyFont="1" applyFill="1" applyBorder="1"/>
    <xf numFmtId="165" fontId="3" fillId="0" borderId="14" xfId="0" applyNumberFormat="1" applyFont="1" applyBorder="1"/>
    <xf numFmtId="0" fontId="0" fillId="3" borderId="14" xfId="0" applyFill="1" applyBorder="1"/>
    <xf numFmtId="0" fontId="0" fillId="3" borderId="15" xfId="0" applyFill="1" applyBorder="1"/>
    <xf numFmtId="0" fontId="0" fillId="3" borderId="16" xfId="0" applyFill="1" applyBorder="1"/>
    <xf numFmtId="0" fontId="0" fillId="3" borderId="20" xfId="0" applyFill="1" applyBorder="1"/>
    <xf numFmtId="0" fontId="0" fillId="7" borderId="26" xfId="0" applyFill="1" applyBorder="1" applyAlignment="1"/>
    <xf numFmtId="0" fontId="0" fillId="7" borderId="27" xfId="0" applyFill="1" applyBorder="1" applyAlignment="1"/>
    <xf numFmtId="0" fontId="0" fillId="7" borderId="27" xfId="0" applyFill="1" applyBorder="1"/>
    <xf numFmtId="0" fontId="0" fillId="7" borderId="28" xfId="0" applyFill="1" applyBorder="1"/>
    <xf numFmtId="0" fontId="0" fillId="7" borderId="29" xfId="0" applyFill="1" applyBorder="1" applyAlignment="1"/>
    <xf numFmtId="0" fontId="0" fillId="7" borderId="0" xfId="0" applyFill="1" applyBorder="1"/>
    <xf numFmtId="0" fontId="0" fillId="7" borderId="25" xfId="0" applyFill="1" applyBorder="1"/>
    <xf numFmtId="0" fontId="0" fillId="0" borderId="13" xfId="0" applyBorder="1"/>
    <xf numFmtId="165" fontId="0" fillId="0" borderId="13" xfId="0" applyNumberFormat="1" applyBorder="1"/>
    <xf numFmtId="165" fontId="3" fillId="0" borderId="29" xfId="0" applyNumberFormat="1" applyFont="1" applyBorder="1"/>
    <xf numFmtId="164" fontId="0" fillId="0" borderId="13" xfId="1" applyNumberFormat="1" applyFont="1" applyBorder="1"/>
    <xf numFmtId="165" fontId="3" fillId="0" borderId="13" xfId="0" applyNumberFormat="1" applyFont="1" applyBorder="1"/>
    <xf numFmtId="0" fontId="0" fillId="7" borderId="30" xfId="0" applyFill="1" applyBorder="1" applyAlignment="1"/>
    <xf numFmtId="0" fontId="0" fillId="7" borderId="31" xfId="0" applyFill="1" applyBorder="1" applyAlignment="1"/>
    <xf numFmtId="0" fontId="0" fillId="7" borderId="31" xfId="0" applyFill="1" applyBorder="1"/>
    <xf numFmtId="0" fontId="0" fillId="7" borderId="32" xfId="0" applyFill="1" applyBorder="1"/>
    <xf numFmtId="9" fontId="0" fillId="0" borderId="13" xfId="1" applyFont="1" applyBorder="1"/>
    <xf numFmtId="9" fontId="0" fillId="0" borderId="14" xfId="1" applyFont="1" applyBorder="1"/>
    <xf numFmtId="165" fontId="0" fillId="0" borderId="14" xfId="0" applyNumberFormat="1" applyFont="1" applyBorder="1"/>
    <xf numFmtId="165" fontId="0" fillId="0" borderId="35" xfId="0" applyNumberFormat="1" applyBorder="1"/>
    <xf numFmtId="165" fontId="3" fillId="0" borderId="15" xfId="0" applyNumberFormat="1" applyFont="1" applyBorder="1"/>
    <xf numFmtId="165" fontId="3" fillId="0" borderId="16" xfId="0" applyNumberFormat="1" applyFont="1" applyBorder="1"/>
    <xf numFmtId="165" fontId="3" fillId="0" borderId="20" xfId="0" applyNumberFormat="1" applyFont="1" applyBorder="1"/>
    <xf numFmtId="2" fontId="3" fillId="0" borderId="0" xfId="0" applyNumberFormat="1" applyFont="1" applyBorder="1"/>
    <xf numFmtId="0" fontId="0" fillId="3" borderId="0" xfId="0" applyFill="1" applyBorder="1"/>
    <xf numFmtId="165" fontId="0" fillId="3" borderId="0" xfId="1" applyNumberFormat="1" applyFont="1" applyFill="1" applyBorder="1"/>
    <xf numFmtId="165" fontId="0" fillId="3" borderId="0" xfId="0" applyNumberFormat="1" applyFill="1" applyBorder="1"/>
    <xf numFmtId="165" fontId="0" fillId="3" borderId="25" xfId="0" applyNumberFormat="1" applyFill="1" applyBorder="1"/>
    <xf numFmtId="0" fontId="3" fillId="0" borderId="16" xfId="0" applyFont="1" applyBorder="1" applyAlignment="1">
      <alignment wrapText="1"/>
    </xf>
    <xf numFmtId="10" fontId="0" fillId="0" borderId="1" xfId="1" applyNumberFormat="1" applyFont="1" applyBorder="1"/>
    <xf numFmtId="0" fontId="0" fillId="6" borderId="1" xfId="0" applyFill="1" applyBorder="1"/>
    <xf numFmtId="10" fontId="0" fillId="6" borderId="1" xfId="1" applyNumberFormat="1" applyFont="1" applyFill="1" applyBorder="1"/>
    <xf numFmtId="0" fontId="0" fillId="0" borderId="17" xfId="0" applyBorder="1" applyAlignment="1"/>
    <xf numFmtId="9" fontId="0" fillId="0" borderId="0" xfId="0" applyNumberFormat="1"/>
    <xf numFmtId="9" fontId="4" fillId="0" borderId="1" xfId="0" applyNumberFormat="1" applyFont="1" applyBorder="1"/>
    <xf numFmtId="9" fontId="4" fillId="0" borderId="14" xfId="0" applyNumberFormat="1" applyFont="1" applyBorder="1"/>
    <xf numFmtId="0" fontId="0" fillId="0" borderId="13" xfId="0" applyBorder="1" applyAlignment="1"/>
    <xf numFmtId="0" fontId="0" fillId="0" borderId="15" xfId="0" applyBorder="1"/>
    <xf numFmtId="9" fontId="4" fillId="0" borderId="16" xfId="0" applyNumberFormat="1" applyFont="1" applyBorder="1"/>
    <xf numFmtId="9" fontId="4" fillId="0" borderId="20" xfId="0" applyNumberFormat="1" applyFont="1" applyBorder="1"/>
    <xf numFmtId="2" fontId="0" fillId="0" borderId="0" xfId="1" applyNumberFormat="1" applyFont="1"/>
    <xf numFmtId="2" fontId="0" fillId="0" borderId="0" xfId="0" applyNumberFormat="1"/>
    <xf numFmtId="2" fontId="0" fillId="0" borderId="1" xfId="1" applyNumberFormat="1" applyFont="1" applyBorder="1"/>
    <xf numFmtId="0" fontId="0" fillId="10" borderId="1" xfId="0" applyFill="1" applyBorder="1" applyAlignment="1">
      <alignment wrapText="1"/>
    </xf>
    <xf numFmtId="2" fontId="0" fillId="10" borderId="1" xfId="1" applyNumberFormat="1" applyFont="1" applyFill="1" applyBorder="1"/>
    <xf numFmtId="164" fontId="3" fillId="0" borderId="0" xfId="1" applyNumberFormat="1" applyFont="1"/>
    <xf numFmtId="164" fontId="1" fillId="0" borderId="1" xfId="1" applyNumberFormat="1" applyFont="1" applyBorder="1"/>
    <xf numFmtId="2" fontId="1" fillId="0" borderId="1" xfId="1" applyNumberFormat="1" applyFont="1" applyBorder="1"/>
    <xf numFmtId="2" fontId="1" fillId="0" borderId="0" xfId="1" applyNumberFormat="1" applyFont="1" applyBorder="1"/>
    <xf numFmtId="164" fontId="0" fillId="0" borderId="1" xfId="0" applyNumberFormat="1" applyBorder="1"/>
    <xf numFmtId="0" fontId="0" fillId="0" borderId="13" xfId="0" applyBorder="1" applyAlignment="1">
      <alignment wrapText="1"/>
    </xf>
    <xf numFmtId="0" fontId="0" fillId="0" borderId="14" xfId="0" applyBorder="1" applyAlignment="1">
      <alignment wrapText="1"/>
    </xf>
    <xf numFmtId="164" fontId="0" fillId="0" borderId="16" xfId="0" applyNumberFormat="1" applyBorder="1"/>
    <xf numFmtId="0" fontId="0" fillId="0" borderId="36" xfId="0" applyBorder="1"/>
    <xf numFmtId="0" fontId="0" fillId="0" borderId="42" xfId="0" applyBorder="1"/>
    <xf numFmtId="164" fontId="2" fillId="0" borderId="14" xfId="0" applyNumberFormat="1" applyFont="1" applyBorder="1"/>
    <xf numFmtId="164" fontId="2" fillId="0" borderId="20" xfId="0" applyNumberFormat="1" applyFont="1" applyBorder="1"/>
    <xf numFmtId="0" fontId="0" fillId="9" borderId="29" xfId="0" applyFill="1" applyBorder="1"/>
    <xf numFmtId="0" fontId="0" fillId="9" borderId="0" xfId="0" applyFill="1" applyBorder="1"/>
    <xf numFmtId="0" fontId="3" fillId="0" borderId="1" xfId="0" applyFont="1" applyBorder="1" applyAlignment="1">
      <alignment horizontal="center" wrapText="1"/>
    </xf>
    <xf numFmtId="0" fontId="3" fillId="0" borderId="14" xfId="0" applyFont="1" applyBorder="1" applyAlignment="1">
      <alignment horizontal="center" wrapText="1"/>
    </xf>
    <xf numFmtId="0" fontId="0" fillId="0" borderId="1" xfId="0" applyBorder="1" applyAlignment="1">
      <alignment horizontal="center" vertical="center" wrapText="1"/>
    </xf>
    <xf numFmtId="0" fontId="3" fillId="9" borderId="1" xfId="0" applyFont="1" applyFill="1" applyBorder="1" applyAlignment="1">
      <alignment horizontal="center" vertical="center"/>
    </xf>
    <xf numFmtId="0" fontId="4" fillId="9" borderId="14" xfId="0" applyFont="1" applyFill="1" applyBorder="1"/>
    <xf numFmtId="0" fontId="3" fillId="9" borderId="0" xfId="0" applyFont="1" applyFill="1" applyBorder="1" applyAlignment="1">
      <alignment horizontal="center" vertical="center"/>
    </xf>
    <xf numFmtId="9" fontId="4" fillId="9" borderId="25" xfId="0" applyNumberFormat="1" applyFont="1" applyFill="1" applyBorder="1"/>
    <xf numFmtId="2" fontId="1" fillId="0" borderId="18" xfId="1" applyNumberFormat="1" applyFont="1" applyFill="1" applyBorder="1"/>
    <xf numFmtId="2" fontId="3" fillId="0" borderId="14" xfId="0" applyNumberFormat="1" applyFont="1" applyBorder="1"/>
    <xf numFmtId="166" fontId="0" fillId="0" borderId="0" xfId="0" applyNumberFormat="1"/>
    <xf numFmtId="0" fontId="0" fillId="0" borderId="6" xfId="0" applyFill="1" applyBorder="1"/>
    <xf numFmtId="165" fontId="0" fillId="0" borderId="0" xfId="0" applyNumberFormat="1"/>
    <xf numFmtId="164" fontId="2" fillId="0" borderId="46" xfId="0" applyNumberFormat="1" applyFont="1" applyBorder="1"/>
    <xf numFmtId="164" fontId="2" fillId="0" borderId="47" xfId="0" applyNumberFormat="1" applyFont="1" applyBorder="1"/>
    <xf numFmtId="165" fontId="4" fillId="0" borderId="1" xfId="0" applyNumberFormat="1" applyFont="1" applyBorder="1"/>
    <xf numFmtId="167" fontId="0" fillId="0" borderId="18" xfId="0" applyNumberFormat="1" applyFill="1" applyBorder="1"/>
    <xf numFmtId="165" fontId="12" fillId="0" borderId="1" xfId="0" applyNumberFormat="1" applyFont="1" applyBorder="1"/>
    <xf numFmtId="164" fontId="4" fillId="0" borderId="1" xfId="0" applyNumberFormat="1" applyFont="1" applyBorder="1"/>
    <xf numFmtId="164" fontId="4" fillId="0" borderId="1" xfId="1" applyNumberFormat="1" applyFont="1" applyBorder="1"/>
    <xf numFmtId="2" fontId="4" fillId="0" borderId="1" xfId="0" applyNumberFormat="1" applyFont="1" applyBorder="1"/>
    <xf numFmtId="165" fontId="12" fillId="0" borderId="13" xfId="0" applyNumberFormat="1" applyFont="1" applyBorder="1"/>
    <xf numFmtId="165" fontId="12" fillId="0" borderId="16" xfId="0" applyNumberFormat="1" applyFont="1" applyBorder="1"/>
    <xf numFmtId="164" fontId="4" fillId="0" borderId="16" xfId="0" applyNumberFormat="1" applyFont="1" applyBorder="1"/>
    <xf numFmtId="165" fontId="0" fillId="0" borderId="16" xfId="0" applyNumberFormat="1" applyBorder="1"/>
    <xf numFmtId="2" fontId="12" fillId="0" borderId="13" xfId="0" applyNumberFormat="1" applyFont="1" applyBorder="1"/>
    <xf numFmtId="2" fontId="12" fillId="0" borderId="15" xfId="0" applyNumberFormat="1" applyFont="1" applyBorder="1"/>
    <xf numFmtId="164" fontId="4" fillId="0" borderId="16" xfId="1" applyNumberFormat="1" applyFont="1" applyBorder="1"/>
    <xf numFmtId="10" fontId="3" fillId="0" borderId="1" xfId="1" applyNumberFormat="1" applyFont="1" applyBorder="1"/>
    <xf numFmtId="0" fontId="4" fillId="0" borderId="1" xfId="0" applyFont="1" applyBorder="1" applyAlignment="1">
      <alignment wrapText="1"/>
    </xf>
    <xf numFmtId="165" fontId="0" fillId="0" borderId="1" xfId="1" applyNumberFormat="1" applyFont="1" applyBorder="1"/>
    <xf numFmtId="0" fontId="0" fillId="0" borderId="1" xfId="0" applyBorder="1" applyAlignment="1">
      <alignment horizontal="left" wrapText="1"/>
    </xf>
    <xf numFmtId="0" fontId="3" fillId="0" borderId="1" xfId="0" applyFont="1" applyBorder="1" applyAlignment="1">
      <alignment horizontal="left" wrapText="1"/>
    </xf>
    <xf numFmtId="0" fontId="0" fillId="0" borderId="0" xfId="0"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26"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2" borderId="36" xfId="0" applyFill="1" applyBorder="1" applyAlignment="1">
      <alignment horizontal="center"/>
    </xf>
    <xf numFmtId="0" fontId="0" fillId="2" borderId="37" xfId="0" applyFill="1" applyBorder="1" applyAlignment="1">
      <alignment horizontal="center"/>
    </xf>
    <xf numFmtId="0" fontId="0" fillId="2" borderId="23" xfId="0" applyFill="1" applyBorder="1" applyAlignment="1">
      <alignment horizontal="center"/>
    </xf>
    <xf numFmtId="0" fontId="0" fillId="0" borderId="33" xfId="0" applyBorder="1" applyAlignment="1">
      <alignment horizontal="center" vertical="center" wrapText="1"/>
    </xf>
    <xf numFmtId="0" fontId="0" fillId="0" borderId="24" xfId="0" applyBorder="1" applyAlignment="1">
      <alignment horizontal="center" vertical="center" wrapText="1"/>
    </xf>
    <xf numFmtId="0" fontId="0" fillId="0" borderId="34" xfId="0" applyBorder="1" applyAlignment="1">
      <alignment horizontal="center" vertical="center" wrapText="1"/>
    </xf>
    <xf numFmtId="0" fontId="0" fillId="2" borderId="40" xfId="0" applyFill="1" applyBorder="1" applyAlignment="1">
      <alignment horizont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19" xfId="0" applyBorder="1" applyAlignment="1">
      <alignment horizontal="center" vertical="center" wrapText="1"/>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2" borderId="22" xfId="0" applyFill="1" applyBorder="1" applyAlignment="1">
      <alignment horizontal="center"/>
    </xf>
    <xf numFmtId="0" fontId="8" fillId="0" borderId="21" xfId="0" applyFont="1" applyBorder="1" applyAlignment="1">
      <alignment horizontal="center" vertical="center" wrapText="1"/>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9" borderId="21" xfId="0" applyFill="1" applyBorder="1" applyAlignment="1">
      <alignment horizontal="center"/>
    </xf>
    <xf numFmtId="0" fontId="0" fillId="9" borderId="24" xfId="0" applyFill="1" applyBorder="1" applyAlignment="1">
      <alignment horizontal="center"/>
    </xf>
    <xf numFmtId="0" fontId="0" fillId="9" borderId="45"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48" xfId="0" applyBorder="1" applyAlignment="1">
      <alignment horizontal="center"/>
    </xf>
    <xf numFmtId="0" fontId="0" fillId="0" borderId="17" xfId="0" applyBorder="1" applyAlignment="1">
      <alignment horizontal="center"/>
    </xf>
    <xf numFmtId="0" fontId="0" fillId="0" borderId="49" xfId="0" applyBorder="1" applyAlignment="1">
      <alignment horizont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4" xfId="0" applyBorder="1" applyAlignment="1">
      <alignment horizontal="center" vertical="center"/>
    </xf>
    <xf numFmtId="0" fontId="0" fillId="0" borderId="0" xfId="0" applyAlignment="1">
      <alignment horizontal="center" wrapText="1"/>
    </xf>
    <xf numFmtId="0" fontId="3" fillId="6" borderId="1" xfId="0" applyFont="1" applyFill="1" applyBorder="1" applyAlignment="1">
      <alignment horizontal="center"/>
    </xf>
    <xf numFmtId="0" fontId="0" fillId="6" borderId="1" xfId="0" applyFill="1" applyBorder="1" applyAlignment="1">
      <alignment horizontal="center"/>
    </xf>
    <xf numFmtId="0" fontId="3" fillId="8" borderId="1" xfId="0" applyFont="1" applyFill="1" applyBorder="1" applyAlignment="1">
      <alignment horizontal="center"/>
    </xf>
    <xf numFmtId="0" fontId="6" fillId="0" borderId="9" xfId="0" applyFont="1" applyBorder="1" applyAlignment="1">
      <alignment horizontal="center" vertical="center" wrapText="1"/>
    </xf>
    <xf numFmtId="0" fontId="0" fillId="0" borderId="1" xfId="0" applyBorder="1" applyAlignment="1">
      <alignment horizontal="center"/>
    </xf>
    <xf numFmtId="0" fontId="0" fillId="0" borderId="0" xfId="0" applyAlignment="1">
      <alignment horizontal="center" vertical="center" wrapText="1"/>
    </xf>
    <xf numFmtId="0" fontId="0" fillId="5" borderId="17" xfId="0" applyFill="1" applyBorder="1" applyAlignment="1">
      <alignment horizontal="center"/>
    </xf>
    <xf numFmtId="165" fontId="0" fillId="0" borderId="3" xfId="0" applyNumberFormat="1" applyBorder="1" applyAlignment="1">
      <alignment horizontal="center" vertical="center"/>
    </xf>
    <xf numFmtId="165" fontId="0" fillId="0" borderId="4" xfId="0" applyNumberFormat="1" applyBorder="1" applyAlignment="1">
      <alignment horizontal="center" vertical="center"/>
    </xf>
    <xf numFmtId="165" fontId="0" fillId="0" borderId="2" xfId="0" applyNumberFormat="1" applyBorder="1" applyAlignment="1">
      <alignment horizontal="center" vertical="center"/>
    </xf>
    <xf numFmtId="165"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fr-FR"/>
              <a:t>Capital released to shareholders per year through reduced recapitalisation requirements</a:t>
            </a:r>
          </a:p>
          <a:p>
            <a:pPr algn="ctr">
              <a:defRPr/>
            </a:pPr>
            <a:r>
              <a:rPr lang="fr-FR"/>
              <a:t>(or increase in earnings in the balance sheet growth strategy)</a:t>
            </a:r>
            <a:endParaRPr lang="fr-FR" baseline="0"/>
          </a:p>
        </c:rich>
      </c:tx>
      <c:layout>
        <c:manualLayout>
          <c:xMode val="edge"/>
          <c:yMode val="edge"/>
          <c:x val="7.9867662570216089E-2"/>
          <c:y val="4.5112792273514828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Moindre recapitalisation, secteur bancaire 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ROE+'!$K$53:$R$53</c:f>
              <c:numCache>
                <c:formatCode>0.0</c:formatCode>
                <c:ptCount val="8"/>
                <c:pt idx="0">
                  <c:v>0.23947413792041061</c:v>
                </c:pt>
                <c:pt idx="1">
                  <c:v>0.28448354902315032</c:v>
                </c:pt>
                <c:pt idx="2">
                  <c:v>0.33840827985187616</c:v>
                </c:pt>
                <c:pt idx="3">
                  <c:v>0.40302879747707721</c:v>
                </c:pt>
                <c:pt idx="4">
                  <c:v>0.39583442694669202</c:v>
                </c:pt>
                <c:pt idx="5">
                  <c:v>0.47175375066564129</c:v>
                </c:pt>
                <c:pt idx="6">
                  <c:v>0.52921632588345346</c:v>
                </c:pt>
                <c:pt idx="7">
                  <c:v>0.56517578048749328</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0-6CF1-4448-9852-DD2D6E2A297E}"/>
            </c:ext>
          </c:extLst>
        </c:ser>
        <c:ser>
          <c:idx val="1"/>
          <c:order val="1"/>
          <c:tx>
            <c:v>Moindre recapitalisation, secteur bancaire 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ROE+'!$K$63:$R$63</c:f>
              <c:numCache>
                <c:formatCode>0.0</c:formatCode>
                <c:ptCount val="8"/>
                <c:pt idx="0">
                  <c:v>0.23947413792041061</c:v>
                </c:pt>
                <c:pt idx="1">
                  <c:v>0.26223343904359808</c:v>
                </c:pt>
                <c:pt idx="2">
                  <c:v>0.28723302689923003</c:v>
                </c:pt>
                <c:pt idx="3">
                  <c:v>0.31469586085864876</c:v>
                </c:pt>
                <c:pt idx="4">
                  <c:v>0.26022000662180744</c:v>
                </c:pt>
                <c:pt idx="5">
                  <c:v>0.28490477600803388</c:v>
                </c:pt>
                <c:pt idx="6">
                  <c:v>0.28383231127099862</c:v>
                </c:pt>
                <c:pt idx="7">
                  <c:v>0.31079687373761544</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1-6CF1-4448-9852-DD2D6E2A297E}"/>
            </c:ext>
          </c:extLst>
        </c:ser>
        <c:ser>
          <c:idx val="2"/>
          <c:order val="2"/>
          <c:tx>
            <c:v>Moindre recapitalisation, secteur bancaire attentiste</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ROE+'!$K$73:$R$73</c:f>
              <c:numCache>
                <c:formatCode>0.0</c:formatCode>
                <c:ptCount val="8"/>
                <c:pt idx="0">
                  <c:v>0.23947413792041061</c:v>
                </c:pt>
                <c:pt idx="1">
                  <c:v>0.24665836205804226</c:v>
                </c:pt>
                <c:pt idx="2">
                  <c:v>0.25405811291977898</c:v>
                </c:pt>
                <c:pt idx="3">
                  <c:v>0.26167985630723933</c:v>
                </c:pt>
                <c:pt idx="4">
                  <c:v>0.18488309446610174</c:v>
                </c:pt>
                <c:pt idx="5">
                  <c:v>0.19042958730011605</c:v>
                </c:pt>
                <c:pt idx="6">
                  <c:v>0.17142999822010552</c:v>
                </c:pt>
                <c:pt idx="7">
                  <c:v>0.17657289816696675</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2-6CF1-4448-9852-DD2D6E2A297E}"/>
            </c:ext>
          </c:extLst>
        </c:ser>
        <c:dLbls>
          <c:showLegendKey val="0"/>
          <c:showVal val="0"/>
          <c:showCatName val="0"/>
          <c:showSerName val="0"/>
          <c:showPercent val="0"/>
          <c:showBubbleSize val="0"/>
        </c:dLbls>
        <c:axId val="607726112"/>
        <c:axId val="607725696"/>
        <c:extLst>
          <c:ext xmlns:c15="http://schemas.microsoft.com/office/drawing/2012/chart" uri="{02D57815-91ED-43cb-92C2-25804820EDAC}">
            <c15:filteredScatterSeries>
              <c15:ser>
                <c:idx val="3"/>
                <c:order val="3"/>
                <c:tx>
                  <c:v>Croissance du bilan, secteur bancaire volontaristes</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extLst>
                      <c:ex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c:ext uri="{02D57815-91ED-43cb-92C2-25804820EDAC}">
                        <c15:formulaRef>
                          <c15:sqref>'IMPACT banques GSF ROE+'!$K$87:$R$87</c15:sqref>
                        </c15:formulaRef>
                      </c:ext>
                    </c:extLst>
                    <c:numCache>
                      <c:formatCode>0.00</c:formatCode>
                      <c:ptCount val="8"/>
                      <c:pt idx="0">
                        <c:v>0</c:v>
                      </c:pt>
                      <c:pt idx="1">
                        <c:v>1.8771637209120229E-2</c:v>
                      </c:pt>
                      <c:pt idx="2">
                        <c:v>4.1325784498511098E-2</c:v>
                      </c:pt>
                      <c:pt idx="3">
                        <c:v>6.8428631382396077E-2</c:v>
                      </c:pt>
                      <c:pt idx="4">
                        <c:v>0.10100339517058643</c:v>
                      </c:pt>
                      <c:pt idx="5">
                        <c:v>0.13297063698205847</c:v>
                      </c:pt>
                      <c:pt idx="6">
                        <c:v>0.17139401254516429</c:v>
                      </c:pt>
                      <c:pt idx="7">
                        <c:v>0.21472785649434911</c:v>
                      </c:pt>
                    </c:numCache>
                  </c:numRef>
                </c:yVal>
                <c:smooth val="1"/>
                <c:extLst>
                  <c:ext xmlns:c16="http://schemas.microsoft.com/office/drawing/2014/chart" uri="{C3380CC4-5D6E-409C-BE32-E72D297353CC}">
                    <c16:uniqueId val="{00000003-6CF1-4448-9852-DD2D6E2A297E}"/>
                  </c:ext>
                </c:extLst>
              </c15:ser>
            </c15:filteredScatterSeries>
            <c15:filteredScatterSeries>
              <c15:ser>
                <c:idx val="4"/>
                <c:order val="4"/>
                <c:tx>
                  <c:v>Croissance du bilan, secteur bancaire en retard</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extLst xmlns:c15="http://schemas.microsoft.com/office/drawing/2012/chart">
                      <c:ext xmlns:c15="http://schemas.microsoft.com/office/drawing/2012/char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xmlns:c15="http://schemas.microsoft.com/office/drawing/2012/chart">
                      <c:ext xmlns:c15="http://schemas.microsoft.com/office/drawing/2012/chart" uri="{02D57815-91ED-43cb-92C2-25804820EDAC}">
                        <c15:formulaRef>
                          <c15:sqref>'IMPACT banques GSF ROE+'!$K$97:$R$97</c15:sqref>
                        </c15:formulaRef>
                      </c:ext>
                    </c:extLst>
                    <c:numCache>
                      <c:formatCode>0.00</c:formatCode>
                      <c:ptCount val="8"/>
                      <c:pt idx="0">
                        <c:v>0</c:v>
                      </c:pt>
                      <c:pt idx="1">
                        <c:v>1.8771637209120229E-2</c:v>
                      </c:pt>
                      <c:pt idx="2">
                        <c:v>3.9445039030816531E-2</c:v>
                      </c:pt>
                      <c:pt idx="3">
                        <c:v>6.2213301710023927E-2</c:v>
                      </c:pt>
                      <c:pt idx="4">
                        <c:v>8.7289336505222082E-2</c:v>
                      </c:pt>
                      <c:pt idx="5">
                        <c:v>0.10772561609386599</c:v>
                      </c:pt>
                      <c:pt idx="6">
                        <c:v>0.13022601188176708</c:v>
                      </c:pt>
                      <c:pt idx="7">
                        <c:v>0.15260380830402198</c:v>
                      </c:pt>
                    </c:numCache>
                  </c:numRef>
                </c:yVal>
                <c:smooth val="1"/>
                <c:extLst xmlns:c15="http://schemas.microsoft.com/office/drawing/2012/chart">
                  <c:ext xmlns:c16="http://schemas.microsoft.com/office/drawing/2014/chart" uri="{C3380CC4-5D6E-409C-BE32-E72D297353CC}">
                    <c16:uniqueId val="{00000004-6CF1-4448-9852-DD2D6E2A297E}"/>
                  </c:ext>
                </c:extLst>
              </c15:ser>
            </c15:filteredScatterSeries>
            <c15:filteredScatterSeries>
              <c15:ser>
                <c:idx val="5"/>
                <c:order val="5"/>
                <c:tx>
                  <c:v>Croissance du bilan, secteur bancaire attentiste</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extLst xmlns:c15="http://schemas.microsoft.com/office/drawing/2012/chart">
                      <c:ext xmlns:c15="http://schemas.microsoft.com/office/drawing/2012/char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xmlns:c15="http://schemas.microsoft.com/office/drawing/2012/chart">
                      <c:ext xmlns:c15="http://schemas.microsoft.com/office/drawing/2012/chart" uri="{02D57815-91ED-43cb-92C2-25804820EDAC}">
                        <c15:formulaRef>
                          <c15:sqref>'IMPACT banques GSF ROE+'!$K$107:$R$107</c15:sqref>
                        </c15:formulaRef>
                      </c:ext>
                    </c:extLst>
                    <c:numCache>
                      <c:formatCode>0.00</c:formatCode>
                      <c:ptCount val="8"/>
                      <c:pt idx="0">
                        <c:v>0</c:v>
                      </c:pt>
                      <c:pt idx="1">
                        <c:v>1.8771637209120229E-2</c:v>
                      </c:pt>
                      <c:pt idx="2">
                        <c:v>3.8128647731795695E-2</c:v>
                      </c:pt>
                      <c:pt idx="3">
                        <c:v>5.8087983244924146E-2</c:v>
                      </c:pt>
                      <c:pt idx="4">
                        <c:v>7.8667119641849581E-2</c:v>
                      </c:pt>
                      <c:pt idx="5">
                        <c:v>9.2707861201176911E-2</c:v>
                      </c:pt>
                      <c:pt idx="6">
                        <c:v>0.10717745106952492</c:v>
                      </c:pt>
                      <c:pt idx="7">
                        <c:v>0.11999135332876421</c:v>
                      </c:pt>
                    </c:numCache>
                  </c:numRef>
                </c:yVal>
                <c:smooth val="1"/>
                <c:extLst xmlns:c15="http://schemas.microsoft.com/office/drawing/2012/chart">
                  <c:ext xmlns:c16="http://schemas.microsoft.com/office/drawing/2014/chart" uri="{C3380CC4-5D6E-409C-BE32-E72D297353CC}">
                    <c16:uniqueId val="{00000005-6CF1-4448-9852-DD2D6E2A297E}"/>
                  </c:ext>
                </c:extLst>
              </c15:ser>
            </c15:filteredScatterSeries>
          </c:ext>
        </c:extLst>
      </c:scatterChart>
      <c:valAx>
        <c:axId val="60772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5696"/>
        <c:crosses val="autoZero"/>
        <c:crossBetween val="midCat"/>
      </c:valAx>
      <c:valAx>
        <c:axId val="607725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6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Extrapolation of distributable profit for banks</a:t>
            </a:r>
            <a:endParaRPr lang="fr-FR" baseline="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Bilan constant, banques volontaristes</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banques GSF ROE+'!$K$29:$X$29</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extLst xmlns:c15="http://schemas.microsoft.com/office/drawing/2012/chart"/>
            </c:numRef>
          </c:xVal>
          <c:yVal>
            <c:numRef>
              <c:f>'IMPACT banques GSF ROE+'!$K$53:$X$53</c:f>
              <c:numCache>
                <c:formatCode>0.0</c:formatCode>
                <c:ptCount val="14"/>
                <c:pt idx="0">
                  <c:v>0.23947413792041061</c:v>
                </c:pt>
                <c:pt idx="1">
                  <c:v>0.28448354902315032</c:v>
                </c:pt>
                <c:pt idx="2">
                  <c:v>0.33840827985187616</c:v>
                </c:pt>
                <c:pt idx="3">
                  <c:v>0.40302879747707721</c:v>
                </c:pt>
                <c:pt idx="4">
                  <c:v>0.39583442694669202</c:v>
                </c:pt>
                <c:pt idx="5">
                  <c:v>0.47175375066564129</c:v>
                </c:pt>
                <c:pt idx="6">
                  <c:v>0.52921632588345346</c:v>
                </c:pt>
                <c:pt idx="7">
                  <c:v>0.56517578048749328</c:v>
                </c:pt>
                <c:pt idx="8">
                  <c:v>0.60157991862695326</c:v>
                </c:pt>
                <c:pt idx="9">
                  <c:v>0.54957529862770116</c:v>
                </c:pt>
                <c:pt idx="10">
                  <c:v>0.56729593754397456</c:v>
                </c:pt>
                <c:pt idx="11">
                  <c:v>0.62530808346798494</c:v>
                </c:pt>
                <c:pt idx="12">
                  <c:v>0.62525085837341976</c:v>
                </c:pt>
                <c:pt idx="13">
                  <c:v>0.66748684481899545</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0-F94B-4EA4-BDD5-E8AD8EF56471}"/>
            </c:ext>
          </c:extLst>
        </c:ser>
        <c:ser>
          <c:idx val="1"/>
          <c:order val="1"/>
          <c:tx>
            <c:v>Bilan constant, banques 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banques GSF ROE+'!$K$29:$X$29</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xVal>
          <c:yVal>
            <c:numRef>
              <c:f>'IMPACT banques GSF ROE+'!$K$63:$X$63</c:f>
              <c:numCache>
                <c:formatCode>0.0</c:formatCode>
                <c:ptCount val="14"/>
                <c:pt idx="0">
                  <c:v>0.23947413792041061</c:v>
                </c:pt>
                <c:pt idx="1">
                  <c:v>0.26223343904359808</c:v>
                </c:pt>
                <c:pt idx="2">
                  <c:v>0.28723302689923003</c:v>
                </c:pt>
                <c:pt idx="3">
                  <c:v>0.31469586085864876</c:v>
                </c:pt>
                <c:pt idx="4">
                  <c:v>0.26022000662180744</c:v>
                </c:pt>
                <c:pt idx="5">
                  <c:v>0.28490477600803388</c:v>
                </c:pt>
                <c:pt idx="6">
                  <c:v>0.28383231127099862</c:v>
                </c:pt>
                <c:pt idx="7">
                  <c:v>0.31079687373761544</c:v>
                </c:pt>
                <c:pt idx="8">
                  <c:v>0.34041533239070532</c:v>
                </c:pt>
                <c:pt idx="9">
                  <c:v>0.28467690719435268</c:v>
                </c:pt>
                <c:pt idx="10">
                  <c:v>0.31159438036416987</c:v>
                </c:pt>
                <c:pt idx="11">
                  <c:v>0.352477537865866</c:v>
                </c:pt>
                <c:pt idx="12">
                  <c:v>0.33650161644317222</c:v>
                </c:pt>
                <c:pt idx="13">
                  <c:v>0.36845781351530604</c:v>
                </c:pt>
              </c:numCache>
            </c:numRef>
          </c:yVal>
          <c:smooth val="1"/>
          <c:extLst xmlns:c15="http://schemas.microsoft.com/office/drawing/2012/chart">
            <c:ext xmlns:c16="http://schemas.microsoft.com/office/drawing/2014/chart" uri="{C3380CC4-5D6E-409C-BE32-E72D297353CC}">
              <c16:uniqueId val="{00000004-F94B-4EA4-BDD5-E8AD8EF56471}"/>
            </c:ext>
          </c:extLst>
        </c:ser>
        <c:ser>
          <c:idx val="2"/>
          <c:order val="2"/>
          <c:tx>
            <c:v>Bilan constant, aucun effort </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banques GSF ROE+'!$K$29:$X$29</c:f>
              <c:numCache>
                <c:formatCode>General</c:formatCode>
                <c:ptCount val="14"/>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numCache>
            </c:numRef>
          </c:xVal>
          <c:yVal>
            <c:numRef>
              <c:f>'IMPACT banques GSF ROE+'!$K$73:$X$73</c:f>
              <c:numCache>
                <c:formatCode>0.0</c:formatCode>
                <c:ptCount val="14"/>
                <c:pt idx="0">
                  <c:v>0.23947413792041061</c:v>
                </c:pt>
                <c:pt idx="1">
                  <c:v>0.24665836205804226</c:v>
                </c:pt>
                <c:pt idx="2">
                  <c:v>0.25405811291977898</c:v>
                </c:pt>
                <c:pt idx="3">
                  <c:v>0.26167985630723933</c:v>
                </c:pt>
                <c:pt idx="4">
                  <c:v>0.18488309446610174</c:v>
                </c:pt>
                <c:pt idx="5">
                  <c:v>0.19042958730011605</c:v>
                </c:pt>
                <c:pt idx="6">
                  <c:v>0.17142999822010552</c:v>
                </c:pt>
                <c:pt idx="7">
                  <c:v>0.17657289816696675</c:v>
                </c:pt>
                <c:pt idx="8">
                  <c:v>0.18187008511199565</c:v>
                </c:pt>
                <c:pt idx="9">
                  <c:v>9.9051294811886237E-2</c:v>
                </c:pt>
                <c:pt idx="10">
                  <c:v>0.10202283365629228</c:v>
                </c:pt>
                <c:pt idx="11">
                  <c:v>0.11500902160247506</c:v>
                </c:pt>
                <c:pt idx="12">
                  <c:v>6.888024283972527E-2</c:v>
                </c:pt>
                <c:pt idx="13">
                  <c:v>7.094665012493806E-2</c:v>
                </c:pt>
              </c:numCache>
            </c:numRef>
          </c:yVal>
          <c:smooth val="1"/>
          <c:extLst xmlns:c15="http://schemas.microsoft.com/office/drawing/2012/chart">
            <c:ext xmlns:c16="http://schemas.microsoft.com/office/drawing/2014/chart" uri="{C3380CC4-5D6E-409C-BE32-E72D297353CC}">
              <c16:uniqueId val="{00000005-F94B-4EA4-BDD5-E8AD8EF56471}"/>
            </c:ext>
          </c:extLst>
        </c:ser>
        <c:dLbls>
          <c:showLegendKey val="0"/>
          <c:showVal val="0"/>
          <c:showCatName val="0"/>
          <c:showSerName val="0"/>
          <c:showPercent val="0"/>
          <c:showBubbleSize val="0"/>
        </c:dLbls>
        <c:axId val="607726112"/>
        <c:axId val="607725696"/>
        <c:extLst>
          <c:ext xmlns:c15="http://schemas.microsoft.com/office/drawing/2012/chart" uri="{02D57815-91ED-43cb-92C2-25804820EDAC}">
            <c15:filteredScatterSeries>
              <c15:ser>
                <c:idx val="3"/>
                <c:order val="3"/>
                <c:tx>
                  <c:v>Capitaux constants, banques volontaristes</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extLst>
                      <c:ext uri="{02D57815-91ED-43cb-92C2-25804820EDAC}">
                        <c15:formulaRef>
                          <c15:sqref>'IMPACT banques GSF ROE+'!$K$29:$Y$29</c15:sqref>
                        </c15:formulaRef>
                      </c:ext>
                    </c:extLst>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extLst>
                      <c:ext uri="{02D57815-91ED-43cb-92C2-25804820EDAC}">
                        <c15:formulaRef>
                          <c15:sqref>'IMPACT banques GSF ROE+'!$K$87:$Y$87</c15:sqref>
                        </c15:formulaRef>
                      </c:ext>
                    </c:extLst>
                    <c:numCache>
                      <c:formatCode>0.00</c:formatCode>
                      <c:ptCount val="15"/>
                      <c:pt idx="0">
                        <c:v>0</c:v>
                      </c:pt>
                      <c:pt idx="1">
                        <c:v>1.8771637209120229E-2</c:v>
                      </c:pt>
                      <c:pt idx="2">
                        <c:v>4.1325784498511098E-2</c:v>
                      </c:pt>
                      <c:pt idx="3">
                        <c:v>6.8428631382396077E-2</c:v>
                      </c:pt>
                      <c:pt idx="4">
                        <c:v>0.10100339517058643</c:v>
                      </c:pt>
                      <c:pt idx="5">
                        <c:v>0.13297063698205847</c:v>
                      </c:pt>
                      <c:pt idx="6">
                        <c:v>0.17139401254516429</c:v>
                      </c:pt>
                      <c:pt idx="7">
                        <c:v>0.21472785649434911</c:v>
                      </c:pt>
                      <c:pt idx="8" formatCode="0.0">
                        <c:v>0.26115474316331699</c:v>
                      </c:pt>
                      <c:pt idx="9" formatCode="0.0">
                        <c:v>0.31072159914753428</c:v>
                      </c:pt>
                      <c:pt idx="10" formatCode="0.0">
                        <c:v>0.35585075940684874</c:v>
                      </c:pt>
                      <c:pt idx="11" formatCode="0.0">
                        <c:v>0.40250130088210767</c:v>
                      </c:pt>
                      <c:pt idx="12" formatCode="0.0">
                        <c:v>0.45414059771199078</c:v>
                      </c:pt>
                      <c:pt idx="13" formatCode="0.0">
                        <c:v>0.50577694961423703</c:v>
                      </c:pt>
                      <c:pt idx="14" formatCode="0.0">
                        <c:v>0.56105385177610145</c:v>
                      </c:pt>
                    </c:numCache>
                  </c:numRef>
                </c:yVal>
                <c:smooth val="1"/>
                <c:extLst>
                  <c:ext xmlns:c16="http://schemas.microsoft.com/office/drawing/2014/chart" uri="{C3380CC4-5D6E-409C-BE32-E72D297353CC}">
                    <c16:uniqueId val="{00000001-F94B-4EA4-BDD5-E8AD8EF56471}"/>
                  </c:ext>
                </c:extLst>
              </c15:ser>
            </c15:filteredScatterSeries>
            <c15:filteredScatterSeries>
              <c15:ser>
                <c:idx val="4"/>
                <c:order val="4"/>
                <c:tx>
                  <c:v>Capitaux constants, banques en retard</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extLst xmlns:c15="http://schemas.microsoft.com/office/drawing/2012/chart">
                      <c:ext xmlns:c15="http://schemas.microsoft.com/office/drawing/2012/chart" uri="{02D57815-91ED-43cb-92C2-25804820EDAC}">
                        <c15:formulaRef>
                          <c15:sqref>'IMPACT banques GSF ROE+'!$K$29:$Y$29</c15:sqref>
                        </c15:formulaRef>
                      </c:ext>
                    </c:extLst>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extLst xmlns:c15="http://schemas.microsoft.com/office/drawing/2012/chart">
                      <c:ext xmlns:c15="http://schemas.microsoft.com/office/drawing/2012/chart" uri="{02D57815-91ED-43cb-92C2-25804820EDAC}">
                        <c15:formulaRef>
                          <c15:sqref>'IMPACT banques GSF ROE+'!$K$97:$Y$97</c15:sqref>
                        </c15:formulaRef>
                      </c:ext>
                    </c:extLst>
                    <c:numCache>
                      <c:formatCode>0.00</c:formatCode>
                      <c:ptCount val="15"/>
                      <c:pt idx="0">
                        <c:v>0</c:v>
                      </c:pt>
                      <c:pt idx="1">
                        <c:v>1.8771637209120229E-2</c:v>
                      </c:pt>
                      <c:pt idx="2">
                        <c:v>3.9445039030816531E-2</c:v>
                      </c:pt>
                      <c:pt idx="3">
                        <c:v>6.2213301710023927E-2</c:v>
                      </c:pt>
                      <c:pt idx="4">
                        <c:v>8.7289336505222082E-2</c:v>
                      </c:pt>
                      <c:pt idx="5">
                        <c:v>0.10772561609386599</c:v>
                      </c:pt>
                      <c:pt idx="6">
                        <c:v>0.13022601188176708</c:v>
                      </c:pt>
                      <c:pt idx="7">
                        <c:v>0.15260380830402198</c:v>
                      </c:pt>
                      <c:pt idx="8" formatCode="0.0">
                        <c:v>0.17724079572212048</c:v>
                      </c:pt>
                      <c:pt idx="9" formatCode="0.0">
                        <c:v>0.20436622201876276</c:v>
                      </c:pt>
                      <c:pt idx="10" formatCode="0.0">
                        <c:v>0.22670553025444917</c:v>
                      </c:pt>
                      <c:pt idx="11" formatCode="0.0">
                        <c:v>0.25129566563217764</c:v>
                      </c:pt>
                      <c:pt idx="12" formatCode="0.0">
                        <c:v>0.27933146476922133</c:v>
                      </c:pt>
                      <c:pt idx="13" formatCode="0.0">
                        <c:v>0.30595780846410037</c:v>
                      </c:pt>
                      <c:pt idx="14" formatCode="0.0">
                        <c:v>0.33526775444380519</c:v>
                      </c:pt>
                    </c:numCache>
                  </c:numRef>
                </c:yVal>
                <c:smooth val="1"/>
                <c:extLst xmlns:c15="http://schemas.microsoft.com/office/drawing/2012/chart">
                  <c:ext xmlns:c16="http://schemas.microsoft.com/office/drawing/2014/chart" uri="{C3380CC4-5D6E-409C-BE32-E72D297353CC}">
                    <c16:uniqueId val="{00000002-F94B-4EA4-BDD5-E8AD8EF56471}"/>
                  </c:ext>
                </c:extLst>
              </c15:ser>
            </c15:filteredScatterSeries>
            <c15:filteredScatterSeries>
              <c15:ser>
                <c:idx val="5"/>
                <c:order val="5"/>
                <c:tx>
                  <c:v>Capitaux constants, aucun effort</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extLst xmlns:c15="http://schemas.microsoft.com/office/drawing/2012/chart">
                      <c:ext xmlns:c15="http://schemas.microsoft.com/office/drawing/2012/chart" uri="{02D57815-91ED-43cb-92C2-25804820EDAC}">
                        <c15:formulaRef>
                          <c15:sqref>'IMPACT banques GSF ROE+'!$K$29:$Y$29</c15:sqref>
                        </c15:formulaRef>
                      </c:ext>
                    </c:extLst>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extLst xmlns:c15="http://schemas.microsoft.com/office/drawing/2012/chart">
                      <c:ext xmlns:c15="http://schemas.microsoft.com/office/drawing/2012/chart" uri="{02D57815-91ED-43cb-92C2-25804820EDAC}">
                        <c15:formulaRef>
                          <c15:sqref>'IMPACT banques GSF ROE+'!$K$107:$Y$107</c15:sqref>
                        </c15:formulaRef>
                      </c:ext>
                    </c:extLst>
                    <c:numCache>
                      <c:formatCode>0.00</c:formatCode>
                      <c:ptCount val="15"/>
                      <c:pt idx="0">
                        <c:v>0</c:v>
                      </c:pt>
                      <c:pt idx="1">
                        <c:v>1.8771637209120229E-2</c:v>
                      </c:pt>
                      <c:pt idx="2">
                        <c:v>3.8128647731795695E-2</c:v>
                      </c:pt>
                      <c:pt idx="3">
                        <c:v>5.8087983244924146E-2</c:v>
                      </c:pt>
                      <c:pt idx="4">
                        <c:v>7.8667119641849581E-2</c:v>
                      </c:pt>
                      <c:pt idx="5">
                        <c:v>9.2707861201176911E-2</c:v>
                      </c:pt>
                      <c:pt idx="6">
                        <c:v>0.10717745106952492</c:v>
                      </c:pt>
                      <c:pt idx="7">
                        <c:v>0.11999135332876421</c:v>
                      </c:pt>
                      <c:pt idx="8" formatCode="0.0">
                        <c:v>0.13319452313820079</c:v>
                      </c:pt>
                      <c:pt idx="9" formatCode="0.0">
                        <c:v>0.14679850076684886</c:v>
                      </c:pt>
                      <c:pt idx="10" formatCode="0.0">
                        <c:v>0.15331478166271495</c:v>
                      </c:pt>
                      <c:pt idx="11" formatCode="0.0">
                        <c:v>0.16002676575389074</c:v>
                      </c:pt>
                      <c:pt idx="12" formatCode="0.0">
                        <c:v>0.16778368001585875</c:v>
                      </c:pt>
                      <c:pt idx="13" formatCode="0.0">
                        <c:v>0.17156076388343422</c:v>
                      </c:pt>
                      <c:pt idx="14" formatCode="0.0">
                        <c:v>0.17545122978611971</c:v>
                      </c:pt>
                    </c:numCache>
                  </c:numRef>
                </c:yVal>
                <c:smooth val="1"/>
                <c:extLst xmlns:c15="http://schemas.microsoft.com/office/drawing/2012/chart">
                  <c:ext xmlns:c16="http://schemas.microsoft.com/office/drawing/2014/chart" uri="{C3380CC4-5D6E-409C-BE32-E72D297353CC}">
                    <c16:uniqueId val="{00000003-F94B-4EA4-BDD5-E8AD8EF56471}"/>
                  </c:ext>
                </c:extLst>
              </c15:ser>
            </c15:filteredScatterSeries>
          </c:ext>
        </c:extLst>
      </c:scatterChart>
      <c:valAx>
        <c:axId val="60772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5696"/>
        <c:crosses val="autoZero"/>
        <c:crossBetween val="midCat"/>
      </c:valAx>
      <c:valAx>
        <c:axId val="6077256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6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baseline="0"/>
              <a:t>Growth of green share portfolio </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banques GSF ROE+'!$V$2:$AJ$2</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'IMPACT banques GSF ROE+'!$V$4:$AJ$4</c:f>
              <c:numCache>
                <c:formatCode>0.0%</c:formatCode>
                <c:ptCount val="15"/>
                <c:pt idx="0">
                  <c:v>0</c:v>
                </c:pt>
                <c:pt idx="1">
                  <c:v>2.3999999999999998E-3</c:v>
                </c:pt>
                <c:pt idx="2">
                  <c:v>5.1262135922330102E-3</c:v>
                </c:pt>
                <c:pt idx="3">
                  <c:v>8.2345178621924774E-3</c:v>
                </c:pt>
                <c:pt idx="4">
                  <c:v>1.1789953025778625E-2</c:v>
                </c:pt>
                <c:pt idx="5">
                  <c:v>1.5057009213227864E-2</c:v>
                </c:pt>
                <c:pt idx="6">
                  <c:v>1.88248084138373E-2</c:v>
                </c:pt>
                <c:pt idx="7">
                  <c:v>2.2874106152257358E-2</c:v>
                </c:pt>
                <c:pt idx="8">
                  <c:v>2.6981598451868306E-2</c:v>
                </c:pt>
                <c:pt idx="9">
                  <c:v>3.1135060851425672E-2</c:v>
                </c:pt>
                <c:pt idx="10">
                  <c:v>3.4588433763017214E-2</c:v>
                </c:pt>
                <c:pt idx="11">
                  <c:v>3.7951122280103645E-2</c:v>
                </c:pt>
                <c:pt idx="12">
                  <c:v>4.153530315449027E-2</c:v>
                </c:pt>
                <c:pt idx="13">
                  <c:v>4.4872736147197716E-2</c:v>
                </c:pt>
                <c:pt idx="14">
                  <c:v>4.8285412981078094E-2</c:v>
                </c:pt>
              </c:numCache>
            </c:numRef>
          </c:yVal>
          <c:smooth val="1"/>
          <c:extLst>
            <c:ext xmlns:c16="http://schemas.microsoft.com/office/drawing/2014/chart" uri="{C3380CC4-5D6E-409C-BE32-E72D297353CC}">
              <c16:uniqueId val="{00000000-8054-4927-8BEA-2D63C7BC9509}"/>
            </c:ext>
          </c:extLst>
        </c:ser>
        <c:ser>
          <c:idx val="1"/>
          <c:order val="1"/>
          <c:tx>
            <c:v>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banques GSF ROE+'!$V$2:$AJ$2</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'IMPACT banques GSF ROE+'!$V$7:$AJ$7</c:f>
              <c:numCache>
                <c:formatCode>0.0%</c:formatCode>
                <c:ptCount val="15"/>
                <c:pt idx="0">
                  <c:v>0</c:v>
                </c:pt>
                <c:pt idx="1">
                  <c:v>2.3999999999999998E-3</c:v>
                </c:pt>
                <c:pt idx="2">
                  <c:v>4.8932038834951456E-3</c:v>
                </c:pt>
                <c:pt idx="3">
                  <c:v>7.4879819021585452E-3</c:v>
                </c:pt>
                <c:pt idx="4">
                  <c:v>1.0193213858539234E-2</c:v>
                </c:pt>
                <c:pt idx="5">
                  <c:v>1.2207098158333506E-2</c:v>
                </c:pt>
                <c:pt idx="6">
                  <c:v>1.431936852868528E-2</c:v>
                </c:pt>
                <c:pt idx="7">
                  <c:v>1.6283217795552495E-2</c:v>
                </c:pt>
                <c:pt idx="8">
                  <c:v>1.8351677547578691E-2</c:v>
                </c:pt>
                <c:pt idx="9">
                  <c:v>2.0532697672075568E-2</c:v>
                </c:pt>
                <c:pt idx="10">
                  <c:v>2.2104981842157281E-2</c:v>
                </c:pt>
                <c:pt idx="11">
                  <c:v>2.377896906900091E-2</c:v>
                </c:pt>
                <c:pt idx="12">
                  <c:v>2.5649934339222764E-2</c:v>
                </c:pt>
                <c:pt idx="13">
                  <c:v>2.7265542006706389E-2</c:v>
                </c:pt>
                <c:pt idx="14">
                  <c:v>2.8994664518202352E-2</c:v>
                </c:pt>
              </c:numCache>
            </c:numRef>
          </c:yVal>
          <c:smooth val="1"/>
          <c:extLst>
            <c:ext xmlns:c16="http://schemas.microsoft.com/office/drawing/2014/chart" uri="{C3380CC4-5D6E-409C-BE32-E72D297353CC}">
              <c16:uniqueId val="{00000001-8054-4927-8BEA-2D63C7BC9509}"/>
            </c:ext>
          </c:extLst>
        </c:ser>
        <c:ser>
          <c:idx val="2"/>
          <c:order val="2"/>
          <c:tx>
            <c:v>Sans effort</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banques GSF ROE+'!$V$2:$AJ$2</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'IMPACT banques GSF ROE+'!$V$10:$AJ$10</c:f>
              <c:numCache>
                <c:formatCode>0.0%</c:formatCode>
                <c:ptCount val="15"/>
                <c:pt idx="0">
                  <c:v>0</c:v>
                </c:pt>
                <c:pt idx="1">
                  <c:v>2.3999999999999998E-3</c:v>
                </c:pt>
                <c:pt idx="2">
                  <c:v>4.7300970873786407E-3</c:v>
                </c:pt>
                <c:pt idx="3">
                  <c:v>6.9923272692996499E-3</c:v>
                </c:pt>
                <c:pt idx="4">
                  <c:v>9.1886672517472335E-3</c:v>
                </c:pt>
                <c:pt idx="5">
                  <c:v>1.0509808862126217E-2</c:v>
                </c:pt>
                <c:pt idx="6">
                  <c:v>1.1792470619775713E-2</c:v>
                </c:pt>
                <c:pt idx="7">
                  <c:v>1.2814533301999732E-2</c:v>
                </c:pt>
                <c:pt idx="8">
                  <c:v>1.3806827168236644E-2</c:v>
                </c:pt>
                <c:pt idx="9">
                  <c:v>1.4770219271379273E-2</c:v>
                </c:pt>
                <c:pt idx="10">
                  <c:v>1.4975789391295074E-2</c:v>
                </c:pt>
                <c:pt idx="11">
                  <c:v>1.5175372031990026E-2</c:v>
                </c:pt>
                <c:pt idx="12">
                  <c:v>1.5446484784910283E-2</c:v>
                </c:pt>
                <c:pt idx="13">
                  <c:v>1.5334615287865172E-2</c:v>
                </c:pt>
                <c:pt idx="14">
                  <c:v>1.5226004125685455E-2</c:v>
                </c:pt>
              </c:numCache>
            </c:numRef>
          </c:yVal>
          <c:smooth val="1"/>
          <c:extLst>
            <c:ext xmlns:c16="http://schemas.microsoft.com/office/drawing/2014/chart" uri="{C3380CC4-5D6E-409C-BE32-E72D297353CC}">
              <c16:uniqueId val="{00000002-8054-4927-8BEA-2D63C7BC9509}"/>
            </c:ext>
          </c:extLst>
        </c:ser>
        <c:dLbls>
          <c:showLegendKey val="0"/>
          <c:showVal val="0"/>
          <c:showCatName val="0"/>
          <c:showSerName val="0"/>
          <c:showPercent val="0"/>
          <c:showBubbleSize val="0"/>
        </c:dLbls>
        <c:axId val="1913293839"/>
        <c:axId val="1913294255"/>
      </c:scatterChart>
      <c:valAx>
        <c:axId val="191329383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13294255"/>
        <c:crosses val="autoZero"/>
        <c:crossBetween val="midCat"/>
      </c:valAx>
      <c:valAx>
        <c:axId val="191329425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1329383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Evolution of the green share in the portfolio from 2021 to 2028</a:t>
            </a:r>
          </a:p>
        </c:rich>
      </c:tx>
      <c:layout>
        <c:manualLayout>
          <c:xMode val="edge"/>
          <c:yMode val="edge"/>
          <c:x val="0.10027777777777776"/>
          <c:y val="1.851851851851851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v>Secteur bancaire 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'IMPACT banques GSF ROE+'!$V$2:$AC$2</c:f>
              <c:numCache>
                <c:formatCode>General</c:formatCode>
                <c:ptCount val="8"/>
                <c:pt idx="0">
                  <c:v>2021</c:v>
                </c:pt>
                <c:pt idx="1">
                  <c:v>2022</c:v>
                </c:pt>
                <c:pt idx="2">
                  <c:v>2023</c:v>
                </c:pt>
                <c:pt idx="3">
                  <c:v>2024</c:v>
                </c:pt>
                <c:pt idx="4">
                  <c:v>2025</c:v>
                </c:pt>
                <c:pt idx="5">
                  <c:v>2026</c:v>
                </c:pt>
                <c:pt idx="6">
                  <c:v>2027</c:v>
                </c:pt>
                <c:pt idx="7">
                  <c:v>2028</c:v>
                </c:pt>
              </c:numCache>
            </c:numRef>
          </c:xVal>
          <c:yVal>
            <c:numRef>
              <c:f>'IMPACT banques GSF ROE+'!$V$4:$AC$4</c:f>
              <c:numCache>
                <c:formatCode>0.0%</c:formatCode>
                <c:ptCount val="8"/>
                <c:pt idx="0">
                  <c:v>0</c:v>
                </c:pt>
                <c:pt idx="1">
                  <c:v>2.3999999999999998E-3</c:v>
                </c:pt>
                <c:pt idx="2">
                  <c:v>5.1262135922330102E-3</c:v>
                </c:pt>
                <c:pt idx="3">
                  <c:v>8.2345178621924774E-3</c:v>
                </c:pt>
                <c:pt idx="4">
                  <c:v>1.1789953025778625E-2</c:v>
                </c:pt>
                <c:pt idx="5">
                  <c:v>1.5057009213227864E-2</c:v>
                </c:pt>
                <c:pt idx="6">
                  <c:v>1.88248084138373E-2</c:v>
                </c:pt>
                <c:pt idx="7">
                  <c:v>2.2874106152257358E-2</c:v>
                </c:pt>
              </c:numCache>
            </c:numRef>
          </c:yVal>
          <c:smooth val="1"/>
          <c:extLst>
            <c:ext xmlns:c16="http://schemas.microsoft.com/office/drawing/2014/chart" uri="{C3380CC4-5D6E-409C-BE32-E72D297353CC}">
              <c16:uniqueId val="{00000000-DFCE-4C17-B507-DB49005611DA}"/>
            </c:ext>
          </c:extLst>
        </c:ser>
        <c:ser>
          <c:idx val="1"/>
          <c:order val="1"/>
          <c:tx>
            <c:v>Secteur bancaire 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'IMPACT banques GSF ROE+'!$V$2:$AC$2</c:f>
              <c:numCache>
                <c:formatCode>General</c:formatCode>
                <c:ptCount val="8"/>
                <c:pt idx="0">
                  <c:v>2021</c:v>
                </c:pt>
                <c:pt idx="1">
                  <c:v>2022</c:v>
                </c:pt>
                <c:pt idx="2">
                  <c:v>2023</c:v>
                </c:pt>
                <c:pt idx="3">
                  <c:v>2024</c:v>
                </c:pt>
                <c:pt idx="4">
                  <c:v>2025</c:v>
                </c:pt>
                <c:pt idx="5">
                  <c:v>2026</c:v>
                </c:pt>
                <c:pt idx="6">
                  <c:v>2027</c:v>
                </c:pt>
                <c:pt idx="7">
                  <c:v>2028</c:v>
                </c:pt>
              </c:numCache>
            </c:numRef>
          </c:xVal>
          <c:yVal>
            <c:numRef>
              <c:f>'IMPACT banques GSF ROE+'!$V$7:$AC$7</c:f>
              <c:numCache>
                <c:formatCode>0.0%</c:formatCode>
                <c:ptCount val="8"/>
                <c:pt idx="0">
                  <c:v>0</c:v>
                </c:pt>
                <c:pt idx="1">
                  <c:v>2.3999999999999998E-3</c:v>
                </c:pt>
                <c:pt idx="2">
                  <c:v>4.8932038834951456E-3</c:v>
                </c:pt>
                <c:pt idx="3">
                  <c:v>7.4879819021585452E-3</c:v>
                </c:pt>
                <c:pt idx="4">
                  <c:v>1.0193213858539234E-2</c:v>
                </c:pt>
                <c:pt idx="5">
                  <c:v>1.2207098158333506E-2</c:v>
                </c:pt>
                <c:pt idx="6">
                  <c:v>1.431936852868528E-2</c:v>
                </c:pt>
                <c:pt idx="7">
                  <c:v>1.6283217795552495E-2</c:v>
                </c:pt>
              </c:numCache>
            </c:numRef>
          </c:yVal>
          <c:smooth val="1"/>
          <c:extLst>
            <c:ext xmlns:c16="http://schemas.microsoft.com/office/drawing/2014/chart" uri="{C3380CC4-5D6E-409C-BE32-E72D297353CC}">
              <c16:uniqueId val="{00000001-DFCE-4C17-B507-DB49005611DA}"/>
            </c:ext>
          </c:extLst>
        </c:ser>
        <c:ser>
          <c:idx val="2"/>
          <c:order val="2"/>
          <c:tx>
            <c:v>Secteur bancaire attentiste</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'IMPACT banques GSF ROE+'!$V$2:$AC$2</c:f>
              <c:numCache>
                <c:formatCode>General</c:formatCode>
                <c:ptCount val="8"/>
                <c:pt idx="0">
                  <c:v>2021</c:v>
                </c:pt>
                <c:pt idx="1">
                  <c:v>2022</c:v>
                </c:pt>
                <c:pt idx="2">
                  <c:v>2023</c:v>
                </c:pt>
                <c:pt idx="3">
                  <c:v>2024</c:v>
                </c:pt>
                <c:pt idx="4">
                  <c:v>2025</c:v>
                </c:pt>
                <c:pt idx="5">
                  <c:v>2026</c:v>
                </c:pt>
                <c:pt idx="6">
                  <c:v>2027</c:v>
                </c:pt>
                <c:pt idx="7">
                  <c:v>2028</c:v>
                </c:pt>
              </c:numCache>
            </c:numRef>
          </c:xVal>
          <c:yVal>
            <c:numRef>
              <c:f>'IMPACT banques GSF ROE+'!$V$10:$AC$10</c:f>
              <c:numCache>
                <c:formatCode>0.0%</c:formatCode>
                <c:ptCount val="8"/>
                <c:pt idx="0">
                  <c:v>0</c:v>
                </c:pt>
                <c:pt idx="1">
                  <c:v>2.3999999999999998E-3</c:v>
                </c:pt>
                <c:pt idx="2">
                  <c:v>4.7300970873786407E-3</c:v>
                </c:pt>
                <c:pt idx="3">
                  <c:v>6.9923272692996499E-3</c:v>
                </c:pt>
                <c:pt idx="4">
                  <c:v>9.1886672517472335E-3</c:v>
                </c:pt>
                <c:pt idx="5">
                  <c:v>1.0509808862126217E-2</c:v>
                </c:pt>
                <c:pt idx="6">
                  <c:v>1.1792470619775713E-2</c:v>
                </c:pt>
                <c:pt idx="7">
                  <c:v>1.2814533301999732E-2</c:v>
                </c:pt>
              </c:numCache>
            </c:numRef>
          </c:yVal>
          <c:smooth val="1"/>
          <c:extLst>
            <c:ext xmlns:c16="http://schemas.microsoft.com/office/drawing/2014/chart" uri="{C3380CC4-5D6E-409C-BE32-E72D297353CC}">
              <c16:uniqueId val="{00000002-DFCE-4C17-B507-DB49005611DA}"/>
            </c:ext>
          </c:extLst>
        </c:ser>
        <c:dLbls>
          <c:showLegendKey val="0"/>
          <c:showVal val="0"/>
          <c:showCatName val="0"/>
          <c:showSerName val="0"/>
          <c:showPercent val="0"/>
          <c:showBubbleSize val="0"/>
        </c:dLbls>
        <c:axId val="1926156832"/>
        <c:axId val="1926158912"/>
      </c:scatterChart>
      <c:valAx>
        <c:axId val="19261568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26158912"/>
        <c:crosses val="autoZero"/>
        <c:crossBetween val="midCat"/>
      </c:valAx>
      <c:valAx>
        <c:axId val="1926158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261568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fr-FR" sz="1600" b="0" i="0" baseline="0">
                <a:effectLst/>
              </a:rPr>
              <a:t>Increase in net income in a balance sheet growth scenario (in €bn/year)</a:t>
            </a:r>
          </a:p>
        </c:rich>
      </c:tx>
      <c:layout>
        <c:manualLayout>
          <c:xMode val="edge"/>
          <c:yMode val="edge"/>
          <c:x val="7.9867662570216089E-2"/>
          <c:y val="4.5112792273514828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3"/>
          <c:order val="3"/>
          <c:tx>
            <c:v>Croissance du bilan, secteur bancaire volontariste</c:v>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ROE+'!$K$87:$R$87</c:f>
              <c:numCache>
                <c:formatCode>0.00</c:formatCode>
                <c:ptCount val="8"/>
                <c:pt idx="0">
                  <c:v>0</c:v>
                </c:pt>
                <c:pt idx="1">
                  <c:v>1.8771637209120229E-2</c:v>
                </c:pt>
                <c:pt idx="2">
                  <c:v>4.1325784498511098E-2</c:v>
                </c:pt>
                <c:pt idx="3">
                  <c:v>6.8428631382396077E-2</c:v>
                </c:pt>
                <c:pt idx="4">
                  <c:v>0.10100339517058643</c:v>
                </c:pt>
                <c:pt idx="5">
                  <c:v>0.13297063698205847</c:v>
                </c:pt>
                <c:pt idx="6">
                  <c:v>0.17139401254516429</c:v>
                </c:pt>
                <c:pt idx="7">
                  <c:v>0.21472785649434911</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0-C5A9-4DC2-A43A-511235964825}"/>
            </c:ext>
          </c:extLst>
        </c:ser>
        <c:ser>
          <c:idx val="4"/>
          <c:order val="4"/>
          <c:tx>
            <c:v>Croissance du bilan, secteur bancaire en retard</c:v>
          </c:tx>
          <c:spPr>
            <a:ln w="19050" cap="rnd">
              <a:solidFill>
                <a:schemeClr val="accent5"/>
              </a:solidFill>
              <a:round/>
            </a:ln>
            <a:effectLst/>
          </c:spPr>
          <c:marker>
            <c:symbol val="circle"/>
            <c:size val="5"/>
            <c:spPr>
              <a:solidFill>
                <a:schemeClr val="accent5"/>
              </a:solidFill>
              <a:ln w="9525">
                <a:solidFill>
                  <a:schemeClr val="accent5"/>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ROE+'!$K$97:$R$97</c:f>
              <c:numCache>
                <c:formatCode>0.00</c:formatCode>
                <c:ptCount val="8"/>
                <c:pt idx="0">
                  <c:v>0</c:v>
                </c:pt>
                <c:pt idx="1">
                  <c:v>1.8771637209120229E-2</c:v>
                </c:pt>
                <c:pt idx="2">
                  <c:v>3.9445039030816531E-2</c:v>
                </c:pt>
                <c:pt idx="3">
                  <c:v>6.2213301710023927E-2</c:v>
                </c:pt>
                <c:pt idx="4">
                  <c:v>8.7289336505222082E-2</c:v>
                </c:pt>
                <c:pt idx="5">
                  <c:v>0.10772561609386599</c:v>
                </c:pt>
                <c:pt idx="6">
                  <c:v>0.13022601188176708</c:v>
                </c:pt>
                <c:pt idx="7">
                  <c:v>0.15260380830402198</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1-C5A9-4DC2-A43A-511235964825}"/>
            </c:ext>
          </c:extLst>
        </c:ser>
        <c:ser>
          <c:idx val="5"/>
          <c:order val="5"/>
          <c:tx>
            <c:v>Croissance du bilan, secteur bancaire attentiste</c:v>
          </c:tx>
          <c:spPr>
            <a:ln w="19050" cap="rnd">
              <a:solidFill>
                <a:schemeClr val="accent6"/>
              </a:solidFill>
              <a:round/>
            </a:ln>
            <a:effectLst/>
          </c:spPr>
          <c:marker>
            <c:symbol val="circle"/>
            <c:size val="5"/>
            <c:spPr>
              <a:solidFill>
                <a:schemeClr val="accent6"/>
              </a:solidFill>
              <a:ln w="9525">
                <a:solidFill>
                  <a:schemeClr val="accent6"/>
                </a:solidFill>
              </a:ln>
              <a:effectLst/>
            </c:spPr>
          </c:marker>
          <c:xVal>
            <c:numRef>
              <c:f>'IMPACT banques GSF ROE+'!$K$29:$R$29</c:f>
              <c:numCache>
                <c:formatCode>General</c:formatCode>
                <c:ptCount val="8"/>
                <c:pt idx="0">
                  <c:v>2021</c:v>
                </c:pt>
                <c:pt idx="1">
                  <c:v>2022</c:v>
                </c:pt>
                <c:pt idx="2">
                  <c:v>2023</c:v>
                </c:pt>
                <c:pt idx="3">
                  <c:v>2024</c:v>
                </c:pt>
                <c:pt idx="4">
                  <c:v>2025</c:v>
                </c:pt>
                <c:pt idx="5">
                  <c:v>2026</c:v>
                </c:pt>
                <c:pt idx="6">
                  <c:v>2027</c:v>
                </c:pt>
                <c:pt idx="7">
                  <c:v>2028</c:v>
                </c:pt>
              </c:numCache>
              <c:extLst xmlns:c15="http://schemas.microsoft.com/office/drawing/2012/chart"/>
            </c:numRef>
          </c:xVal>
          <c:yVal>
            <c:numRef>
              <c:f>'IMPACT banques GSF ROE+'!$K$107:$R$107</c:f>
              <c:numCache>
                <c:formatCode>0.00</c:formatCode>
                <c:ptCount val="8"/>
                <c:pt idx="0">
                  <c:v>0</c:v>
                </c:pt>
                <c:pt idx="1">
                  <c:v>1.8771637209120229E-2</c:v>
                </c:pt>
                <c:pt idx="2">
                  <c:v>3.8128647731795695E-2</c:v>
                </c:pt>
                <c:pt idx="3">
                  <c:v>5.8087983244924146E-2</c:v>
                </c:pt>
                <c:pt idx="4">
                  <c:v>7.8667119641849581E-2</c:v>
                </c:pt>
                <c:pt idx="5">
                  <c:v>9.2707861201176911E-2</c:v>
                </c:pt>
                <c:pt idx="6">
                  <c:v>0.10717745106952492</c:v>
                </c:pt>
                <c:pt idx="7">
                  <c:v>0.11999135332876421</c:v>
                </c:pt>
              </c:numCache>
              <c:extLst xmlns:c15="http://schemas.microsoft.com/office/drawing/2012/chart"/>
            </c:numRef>
          </c:yVal>
          <c:smooth val="1"/>
          <c:extLst xmlns:c15="http://schemas.microsoft.com/office/drawing/2012/chart">
            <c:ext xmlns:c16="http://schemas.microsoft.com/office/drawing/2014/chart" uri="{C3380CC4-5D6E-409C-BE32-E72D297353CC}">
              <c16:uniqueId val="{00000002-C5A9-4DC2-A43A-511235964825}"/>
            </c:ext>
          </c:extLst>
        </c:ser>
        <c:dLbls>
          <c:showLegendKey val="0"/>
          <c:showVal val="0"/>
          <c:showCatName val="0"/>
          <c:showSerName val="0"/>
          <c:showPercent val="0"/>
          <c:showBubbleSize val="0"/>
        </c:dLbls>
        <c:axId val="607726112"/>
        <c:axId val="607725696"/>
        <c:extLst>
          <c:ext xmlns:c15="http://schemas.microsoft.com/office/drawing/2012/chart" uri="{02D57815-91ED-43cb-92C2-25804820EDAC}">
            <c15:filteredScatterSeries>
              <c15:ser>
                <c:idx val="0"/>
                <c:order val="0"/>
                <c:tx>
                  <c:v>Moindre recapitalisation,secteur bancaire volontariste</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extLst>
                      <c:ex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c:ext uri="{02D57815-91ED-43cb-92C2-25804820EDAC}">
                        <c15:formulaRef>
                          <c15:sqref>'IMPACT banques GSF ROE+'!$K$53:$R$53</c15:sqref>
                        </c15:formulaRef>
                      </c:ext>
                    </c:extLst>
                    <c:numCache>
                      <c:formatCode>0.0</c:formatCode>
                      <c:ptCount val="8"/>
                      <c:pt idx="0">
                        <c:v>0.23947413792041061</c:v>
                      </c:pt>
                      <c:pt idx="1">
                        <c:v>0.28448354902315032</c:v>
                      </c:pt>
                      <c:pt idx="2">
                        <c:v>0.33840827985187616</c:v>
                      </c:pt>
                      <c:pt idx="3">
                        <c:v>0.40302879747707721</c:v>
                      </c:pt>
                      <c:pt idx="4">
                        <c:v>0.39583442694669202</c:v>
                      </c:pt>
                      <c:pt idx="5">
                        <c:v>0.47175375066564129</c:v>
                      </c:pt>
                      <c:pt idx="6">
                        <c:v>0.52921632588345346</c:v>
                      </c:pt>
                      <c:pt idx="7">
                        <c:v>0.56517578048749328</c:v>
                      </c:pt>
                    </c:numCache>
                  </c:numRef>
                </c:yVal>
                <c:smooth val="1"/>
                <c:extLst>
                  <c:ext xmlns:c16="http://schemas.microsoft.com/office/drawing/2014/chart" uri="{C3380CC4-5D6E-409C-BE32-E72D297353CC}">
                    <c16:uniqueId val="{00000003-C5A9-4DC2-A43A-511235964825}"/>
                  </c:ext>
                </c:extLst>
              </c15:ser>
            </c15:filteredScatterSeries>
            <c15:filteredScatterSeries>
              <c15:ser>
                <c:idx val="1"/>
                <c:order val="1"/>
                <c:tx>
                  <c:v>Moindre recapitalisation, secteur bancaire en retard</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xmlns:c15="http://schemas.microsoft.com/office/drawing/2012/chart">
                      <c:ext xmlns:c15="http://schemas.microsoft.com/office/drawing/2012/char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xmlns:c15="http://schemas.microsoft.com/office/drawing/2012/chart">
                      <c:ext xmlns:c15="http://schemas.microsoft.com/office/drawing/2012/chart" uri="{02D57815-91ED-43cb-92C2-25804820EDAC}">
                        <c15:formulaRef>
                          <c15:sqref>'IMPACT banques GSF ROE+'!$K$63:$R$63</c15:sqref>
                        </c15:formulaRef>
                      </c:ext>
                    </c:extLst>
                    <c:numCache>
                      <c:formatCode>0.0</c:formatCode>
                      <c:ptCount val="8"/>
                      <c:pt idx="0">
                        <c:v>0.23947413792041061</c:v>
                      </c:pt>
                      <c:pt idx="1">
                        <c:v>0.26223343904359808</c:v>
                      </c:pt>
                      <c:pt idx="2">
                        <c:v>0.28723302689923003</c:v>
                      </c:pt>
                      <c:pt idx="3">
                        <c:v>0.31469586085864876</c:v>
                      </c:pt>
                      <c:pt idx="4">
                        <c:v>0.26022000662180744</c:v>
                      </c:pt>
                      <c:pt idx="5">
                        <c:v>0.28490477600803388</c:v>
                      </c:pt>
                      <c:pt idx="6">
                        <c:v>0.28383231127099862</c:v>
                      </c:pt>
                      <c:pt idx="7">
                        <c:v>0.31079687373761544</c:v>
                      </c:pt>
                    </c:numCache>
                  </c:numRef>
                </c:yVal>
                <c:smooth val="1"/>
                <c:extLst xmlns:c15="http://schemas.microsoft.com/office/drawing/2012/chart">
                  <c:ext xmlns:c16="http://schemas.microsoft.com/office/drawing/2014/chart" uri="{C3380CC4-5D6E-409C-BE32-E72D297353CC}">
                    <c16:uniqueId val="{00000004-C5A9-4DC2-A43A-511235964825}"/>
                  </c:ext>
                </c:extLst>
              </c15:ser>
            </c15:filteredScatterSeries>
            <c15:filteredScatterSeries>
              <c15:ser>
                <c:idx val="2"/>
                <c:order val="2"/>
                <c:tx>
                  <c:v>Moindre recapitalisation, secteur bancaire attentiste</c:v>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extLst xmlns:c15="http://schemas.microsoft.com/office/drawing/2012/chart">
                      <c:ext xmlns:c15="http://schemas.microsoft.com/office/drawing/2012/chart" uri="{02D57815-91ED-43cb-92C2-25804820EDAC}">
                        <c15:formulaRef>
                          <c15:sqref>'IMPACT banques GSF ROE+'!$K$29:$R$29</c15:sqref>
                        </c15:formulaRef>
                      </c:ext>
                    </c:extLst>
                    <c:numCache>
                      <c:formatCode>General</c:formatCode>
                      <c:ptCount val="8"/>
                      <c:pt idx="0">
                        <c:v>2021</c:v>
                      </c:pt>
                      <c:pt idx="1">
                        <c:v>2022</c:v>
                      </c:pt>
                      <c:pt idx="2">
                        <c:v>2023</c:v>
                      </c:pt>
                      <c:pt idx="3">
                        <c:v>2024</c:v>
                      </c:pt>
                      <c:pt idx="4">
                        <c:v>2025</c:v>
                      </c:pt>
                      <c:pt idx="5">
                        <c:v>2026</c:v>
                      </c:pt>
                      <c:pt idx="6">
                        <c:v>2027</c:v>
                      </c:pt>
                      <c:pt idx="7">
                        <c:v>2028</c:v>
                      </c:pt>
                    </c:numCache>
                  </c:numRef>
                </c:xVal>
                <c:yVal>
                  <c:numRef>
                    <c:extLst xmlns:c15="http://schemas.microsoft.com/office/drawing/2012/chart">
                      <c:ext xmlns:c15="http://schemas.microsoft.com/office/drawing/2012/chart" uri="{02D57815-91ED-43cb-92C2-25804820EDAC}">
                        <c15:formulaRef>
                          <c15:sqref>'IMPACT banques GSF ROE+'!$K$73:$R$73</c15:sqref>
                        </c15:formulaRef>
                      </c:ext>
                    </c:extLst>
                    <c:numCache>
                      <c:formatCode>0.0</c:formatCode>
                      <c:ptCount val="8"/>
                      <c:pt idx="0">
                        <c:v>0.23947413792041061</c:v>
                      </c:pt>
                      <c:pt idx="1">
                        <c:v>0.24665836205804226</c:v>
                      </c:pt>
                      <c:pt idx="2">
                        <c:v>0.25405811291977898</c:v>
                      </c:pt>
                      <c:pt idx="3">
                        <c:v>0.26167985630723933</c:v>
                      </c:pt>
                      <c:pt idx="4">
                        <c:v>0.18488309446610174</c:v>
                      </c:pt>
                      <c:pt idx="5">
                        <c:v>0.19042958730011605</c:v>
                      </c:pt>
                      <c:pt idx="6">
                        <c:v>0.17142999822010552</c:v>
                      </c:pt>
                      <c:pt idx="7">
                        <c:v>0.17657289816696675</c:v>
                      </c:pt>
                    </c:numCache>
                  </c:numRef>
                </c:yVal>
                <c:smooth val="1"/>
                <c:extLst xmlns:c15="http://schemas.microsoft.com/office/drawing/2012/chart">
                  <c:ext xmlns:c16="http://schemas.microsoft.com/office/drawing/2014/chart" uri="{C3380CC4-5D6E-409C-BE32-E72D297353CC}">
                    <c16:uniqueId val="{00000005-C5A9-4DC2-A43A-511235964825}"/>
                  </c:ext>
                </c:extLst>
              </c15:ser>
            </c15:filteredScatterSeries>
          </c:ext>
        </c:extLst>
      </c:scatterChart>
      <c:valAx>
        <c:axId val="60772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5696"/>
        <c:crosses val="autoZero"/>
        <c:crossBetween val="midCat"/>
      </c:valAx>
      <c:valAx>
        <c:axId val="607725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07726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Credit surplus compared to the baseline scenario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'Effects on the credit'!$B$11</c:f>
              <c:strCache>
                <c:ptCount val="1"/>
                <c:pt idx="0">
                  <c:v>Volontary</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'Effects on the credit'!$C$10:$J$10</c:f>
              <c:numCache>
                <c:formatCode>General</c:formatCode>
                <c:ptCount val="8"/>
                <c:pt idx="0">
                  <c:v>2021</c:v>
                </c:pt>
                <c:pt idx="1">
                  <c:v>2022</c:v>
                </c:pt>
                <c:pt idx="2">
                  <c:v>2023</c:v>
                </c:pt>
                <c:pt idx="3">
                  <c:v>2024</c:v>
                </c:pt>
                <c:pt idx="4">
                  <c:v>2025</c:v>
                </c:pt>
                <c:pt idx="5">
                  <c:v>2026</c:v>
                </c:pt>
                <c:pt idx="6">
                  <c:v>2027</c:v>
                </c:pt>
                <c:pt idx="7">
                  <c:v>2028</c:v>
                </c:pt>
              </c:numCache>
            </c:numRef>
          </c:xVal>
          <c:yVal>
            <c:numRef>
              <c:f>'Effects on the credit'!$C$11:$J$11</c:f>
              <c:numCache>
                <c:formatCode>0.00%</c:formatCode>
                <c:ptCount val="8"/>
                <c:pt idx="0">
                  <c:v>-1.2227727646127316E-16</c:v>
                </c:pt>
                <c:pt idx="1">
                  <c:v>6.0036021612958697E-4</c:v>
                </c:pt>
                <c:pt idx="2">
                  <c:v>1.283197884667643E-3</c:v>
                </c:pt>
                <c:pt idx="3">
                  <c:v>2.0628761632014141E-3</c:v>
                </c:pt>
                <c:pt idx="4">
                  <c:v>2.9562016260209815E-3</c:v>
                </c:pt>
                <c:pt idx="5">
                  <c:v>3.7784754381782024E-3</c:v>
                </c:pt>
                <c:pt idx="6">
                  <c:v>4.7284551691224143E-3</c:v>
                </c:pt>
                <c:pt idx="7">
                  <c:v>5.7514161640298926E-3</c:v>
                </c:pt>
              </c:numCache>
            </c:numRef>
          </c:yVal>
          <c:smooth val="1"/>
          <c:extLst>
            <c:ext xmlns:c16="http://schemas.microsoft.com/office/drawing/2014/chart" uri="{C3380CC4-5D6E-409C-BE32-E72D297353CC}">
              <c16:uniqueId val="{00000000-5E45-4ADA-BA59-C6A84E2EDA31}"/>
            </c:ext>
          </c:extLst>
        </c:ser>
        <c:ser>
          <c:idx val="1"/>
          <c:order val="1"/>
          <c:tx>
            <c:strRef>
              <c:f>'Effects on the credit'!$B$12</c:f>
              <c:strCache>
                <c:ptCount val="1"/>
                <c:pt idx="0">
                  <c:v>Late</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'Effects on the credit'!$C$10:$J$10</c:f>
              <c:numCache>
                <c:formatCode>General</c:formatCode>
                <c:ptCount val="8"/>
                <c:pt idx="0">
                  <c:v>2021</c:v>
                </c:pt>
                <c:pt idx="1">
                  <c:v>2022</c:v>
                </c:pt>
                <c:pt idx="2">
                  <c:v>2023</c:v>
                </c:pt>
                <c:pt idx="3">
                  <c:v>2024</c:v>
                </c:pt>
                <c:pt idx="4">
                  <c:v>2025</c:v>
                </c:pt>
                <c:pt idx="5">
                  <c:v>2026</c:v>
                </c:pt>
                <c:pt idx="6">
                  <c:v>2027</c:v>
                </c:pt>
                <c:pt idx="7">
                  <c:v>2028</c:v>
                </c:pt>
              </c:numCache>
            </c:numRef>
          </c:xVal>
          <c:yVal>
            <c:numRef>
              <c:f>'Effects on the credit'!$C$12:$J$12</c:f>
              <c:numCache>
                <c:formatCode>0.00%</c:formatCode>
                <c:ptCount val="8"/>
                <c:pt idx="0">
                  <c:v>-1.2227727646127316E-16</c:v>
                </c:pt>
                <c:pt idx="1">
                  <c:v>6.0036021612958697E-4</c:v>
                </c:pt>
                <c:pt idx="2">
                  <c:v>1.2247992690085894E-3</c:v>
                </c:pt>
                <c:pt idx="3">
                  <c:v>1.8755064150629457E-3</c:v>
                </c:pt>
                <c:pt idx="4">
                  <c:v>2.5548139057623783E-3</c:v>
                </c:pt>
                <c:pt idx="5">
                  <c:v>3.0611163766042634E-3</c:v>
                </c:pt>
                <c:pt idx="6">
                  <c:v>3.5927034433262837E-3</c:v>
                </c:pt>
                <c:pt idx="7">
                  <c:v>4.087443632612227E-3</c:v>
                </c:pt>
              </c:numCache>
            </c:numRef>
          </c:yVal>
          <c:smooth val="1"/>
          <c:extLst>
            <c:ext xmlns:c16="http://schemas.microsoft.com/office/drawing/2014/chart" uri="{C3380CC4-5D6E-409C-BE32-E72D297353CC}">
              <c16:uniqueId val="{00000001-5E45-4ADA-BA59-C6A84E2EDA31}"/>
            </c:ext>
          </c:extLst>
        </c:ser>
        <c:ser>
          <c:idx val="2"/>
          <c:order val="2"/>
          <c:tx>
            <c:v>Attentiste</c:v>
          </c:tx>
          <c:spPr>
            <a:ln w="19050"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'Effects on the credit'!$C$10:$J$10</c:f>
              <c:numCache>
                <c:formatCode>General</c:formatCode>
                <c:ptCount val="8"/>
                <c:pt idx="0">
                  <c:v>2021</c:v>
                </c:pt>
                <c:pt idx="1">
                  <c:v>2022</c:v>
                </c:pt>
                <c:pt idx="2">
                  <c:v>2023</c:v>
                </c:pt>
                <c:pt idx="3">
                  <c:v>2024</c:v>
                </c:pt>
                <c:pt idx="4">
                  <c:v>2025</c:v>
                </c:pt>
                <c:pt idx="5">
                  <c:v>2026</c:v>
                </c:pt>
                <c:pt idx="6">
                  <c:v>2027</c:v>
                </c:pt>
                <c:pt idx="7">
                  <c:v>2028</c:v>
                </c:pt>
              </c:numCache>
            </c:numRef>
          </c:xVal>
          <c:yVal>
            <c:numRef>
              <c:f>'Effects on the credit'!$C$13:$J$13</c:f>
              <c:numCache>
                <c:formatCode>0.00%</c:formatCode>
                <c:ptCount val="8"/>
                <c:pt idx="0">
                  <c:v>-1.2227727646127316E-16</c:v>
                </c:pt>
                <c:pt idx="1">
                  <c:v>6.0036021612958697E-4</c:v>
                </c:pt>
                <c:pt idx="2">
                  <c:v>1.1839242910547561E-3</c:v>
                </c:pt>
                <c:pt idx="3">
                  <c:v>1.7511429584900382E-3</c:v>
                </c:pt>
                <c:pt idx="4">
                  <c:v>2.3024559383063511E-3</c:v>
                </c:pt>
                <c:pt idx="5">
                  <c:v>2.6343739070900283E-3</c:v>
                </c:pt>
                <c:pt idx="6">
                  <c:v>2.9568347516780343E-3</c:v>
                </c:pt>
                <c:pt idx="7">
                  <c:v>3.2139295773998908E-3</c:v>
                </c:pt>
              </c:numCache>
            </c:numRef>
          </c:yVal>
          <c:smooth val="1"/>
          <c:extLst>
            <c:ext xmlns:c16="http://schemas.microsoft.com/office/drawing/2014/chart" uri="{C3380CC4-5D6E-409C-BE32-E72D297353CC}">
              <c16:uniqueId val="{00000002-5E45-4ADA-BA59-C6A84E2EDA31}"/>
            </c:ext>
          </c:extLst>
        </c:ser>
        <c:dLbls>
          <c:dLblPos val="t"/>
          <c:showLegendKey val="0"/>
          <c:showVal val="1"/>
          <c:showCatName val="0"/>
          <c:showSerName val="0"/>
          <c:showPercent val="0"/>
          <c:showBubbleSize val="0"/>
        </c:dLbls>
        <c:axId val="1512066399"/>
        <c:axId val="1512060991"/>
      </c:scatterChart>
      <c:valAx>
        <c:axId val="15120663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2060991"/>
        <c:crosses val="autoZero"/>
        <c:crossBetween val="midCat"/>
      </c:valAx>
      <c:valAx>
        <c:axId val="151206099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12066399"/>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Extrapolation to 2035 of the effects of the GSF</a:t>
            </a:r>
          </a:p>
          <a:p>
            <a:pPr>
              <a:defRPr/>
            </a:pPr>
            <a:r>
              <a:rPr lang="fr-FR"/>
              <a:t> on credit, requires specific behaviour of banks</a:t>
            </a:r>
            <a:endParaRPr lang="fr-FR" baseline="0"/>
          </a:p>
        </c:rich>
      </c:tx>
      <c:layout>
        <c:manualLayout>
          <c:xMode val="edge"/>
          <c:yMode val="edge"/>
          <c:x val="0.14001059883412825"/>
          <c:y val="2.64026363433328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scatterChart>
        <c:scatterStyle val="smoothMarker"/>
        <c:varyColors val="0"/>
        <c:ser>
          <c:idx val="0"/>
          <c:order val="0"/>
          <c:tx>
            <c:strRef>
              <c:f>'Effects on the credit'!$B$11</c:f>
              <c:strCache>
                <c:ptCount val="1"/>
                <c:pt idx="0">
                  <c:v>Volontary</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'Effects on the credit'!$C$10:$Q$10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'Effects on the credit'!$C$11:$Q$11</c:f>
              <c:numCache>
                <c:formatCode>0.00%</c:formatCode>
                <c:ptCount val="15"/>
                <c:pt idx="0">
                  <c:v>-1.2227727646127316E-16</c:v>
                </c:pt>
                <c:pt idx="1">
                  <c:v>6.0036021612958697E-4</c:v>
                </c:pt>
                <c:pt idx="2">
                  <c:v>1.283197884667643E-3</c:v>
                </c:pt>
                <c:pt idx="3">
                  <c:v>2.0628761632014141E-3</c:v>
                </c:pt>
                <c:pt idx="4">
                  <c:v>2.9562016260209815E-3</c:v>
                </c:pt>
                <c:pt idx="5">
                  <c:v>3.7784754381782024E-3</c:v>
                </c:pt>
                <c:pt idx="6">
                  <c:v>4.7284551691224143E-3</c:v>
                </c:pt>
                <c:pt idx="7">
                  <c:v>5.7514161640298926E-3</c:v>
                </c:pt>
                <c:pt idx="8">
                  <c:v>6.7912090317413017E-3</c:v>
                </c:pt>
                <c:pt idx="9">
                  <c:v>7.8448275083166045E-3</c:v>
                </c:pt>
                <c:pt idx="10">
                  <c:v>8.7225331306128341E-3</c:v>
                </c:pt>
                <c:pt idx="11">
                  <c:v>9.5786608018686506E-3</c:v>
                </c:pt>
                <c:pt idx="12">
                  <c:v>1.0492780998549851E-2</c:v>
                </c:pt>
                <c:pt idx="13">
                  <c:v>1.1345459489332816E-2</c:v>
                </c:pt>
                <c:pt idx="14">
                  <c:v>1.2218851315753501E-2</c:v>
                </c:pt>
              </c:numCache>
            </c:numRef>
          </c:yVal>
          <c:smooth val="1"/>
          <c:extLst>
            <c:ext xmlns:c16="http://schemas.microsoft.com/office/drawing/2014/chart" uri="{C3380CC4-5D6E-409C-BE32-E72D297353CC}">
              <c16:uniqueId val="{00000000-2B7D-4CE5-8655-AD27140E8F57}"/>
            </c:ext>
          </c:extLst>
        </c:ser>
        <c:ser>
          <c:idx val="1"/>
          <c:order val="1"/>
          <c:tx>
            <c:strRef>
              <c:f>'Effects on the credit'!$B$12</c:f>
              <c:strCache>
                <c:ptCount val="1"/>
                <c:pt idx="0">
                  <c:v>Late</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'Effects on the credit'!$C$10:$Q$10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'Effects on the credit'!$C$12:$Q$12</c:f>
              <c:numCache>
                <c:formatCode>0.00%</c:formatCode>
                <c:ptCount val="15"/>
                <c:pt idx="0">
                  <c:v>-1.2227727646127316E-16</c:v>
                </c:pt>
                <c:pt idx="1">
                  <c:v>6.0036021612958697E-4</c:v>
                </c:pt>
                <c:pt idx="2">
                  <c:v>1.2247992690085894E-3</c:v>
                </c:pt>
                <c:pt idx="3">
                  <c:v>1.8755064150629457E-3</c:v>
                </c:pt>
                <c:pt idx="4">
                  <c:v>2.5548139057623783E-3</c:v>
                </c:pt>
                <c:pt idx="5">
                  <c:v>3.0611163766042634E-3</c:v>
                </c:pt>
                <c:pt idx="6">
                  <c:v>3.5927034433262837E-3</c:v>
                </c:pt>
                <c:pt idx="7">
                  <c:v>4.087443632612227E-3</c:v>
                </c:pt>
                <c:pt idx="8">
                  <c:v>4.6090654074328963E-3</c:v>
                </c:pt>
                <c:pt idx="9">
                  <c:v>5.1596598519767622E-3</c:v>
                </c:pt>
                <c:pt idx="10">
                  <c:v>5.5569545554255808E-3</c:v>
                </c:pt>
                <c:pt idx="11">
                  <c:v>5.9802935712136756E-3</c:v>
                </c:pt>
                <c:pt idx="12">
                  <c:v>6.453868913270701E-3</c:v>
                </c:pt>
                <c:pt idx="13">
                  <c:v>6.8631674970994015E-3</c:v>
                </c:pt>
                <c:pt idx="14">
                  <c:v>7.3015929389791843E-3</c:v>
                </c:pt>
              </c:numCache>
            </c:numRef>
          </c:yVal>
          <c:smooth val="1"/>
          <c:extLst>
            <c:ext xmlns:c16="http://schemas.microsoft.com/office/drawing/2014/chart" uri="{C3380CC4-5D6E-409C-BE32-E72D297353CC}">
              <c16:uniqueId val="{00000001-2B7D-4CE5-8655-AD27140E8F57}"/>
            </c:ext>
          </c:extLst>
        </c:ser>
        <c:ser>
          <c:idx val="2"/>
          <c:order val="2"/>
          <c:tx>
            <c:strRef>
              <c:f>'Effects on the credit'!$B$13</c:f>
              <c:strCache>
                <c:ptCount val="1"/>
                <c:pt idx="0">
                  <c:v>No effort</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'Effects on the credit'!$C$10:$Q$10</c:f>
              <c:numCache>
                <c:formatCode>General</c:formatCode>
                <c:ptCount val="1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numCache>
            </c:numRef>
          </c:xVal>
          <c:yVal>
            <c:numRef>
              <c:f>'Effects on the credit'!$C$13:$Q$13</c:f>
              <c:numCache>
                <c:formatCode>0.00%</c:formatCode>
                <c:ptCount val="15"/>
                <c:pt idx="0">
                  <c:v>-1.2227727646127316E-16</c:v>
                </c:pt>
                <c:pt idx="1">
                  <c:v>6.0036021612958697E-4</c:v>
                </c:pt>
                <c:pt idx="2">
                  <c:v>1.1839242910547561E-3</c:v>
                </c:pt>
                <c:pt idx="3">
                  <c:v>1.7511429584900382E-3</c:v>
                </c:pt>
                <c:pt idx="4">
                  <c:v>2.3024559383063511E-3</c:v>
                </c:pt>
                <c:pt idx="5">
                  <c:v>2.6343739070900283E-3</c:v>
                </c:pt>
                <c:pt idx="6">
                  <c:v>2.9568347516780343E-3</c:v>
                </c:pt>
                <c:pt idx="7">
                  <c:v>3.2139295773998908E-3</c:v>
                </c:pt>
                <c:pt idx="8">
                  <c:v>3.4636623388797998E-3</c:v>
                </c:pt>
                <c:pt idx="9">
                  <c:v>3.7062403133700035E-3</c:v>
                </c:pt>
                <c:pt idx="10">
                  <c:v>3.7580171662264655E-3</c:v>
                </c:pt>
                <c:pt idx="11">
                  <c:v>3.8082910664320991E-3</c:v>
                </c:pt>
                <c:pt idx="12">
                  <c:v>3.8765911226761401E-3</c:v>
                </c:pt>
                <c:pt idx="13">
                  <c:v>3.8484072832561437E-3</c:v>
                </c:pt>
                <c:pt idx="14">
                  <c:v>3.8210458463766844E-3</c:v>
                </c:pt>
              </c:numCache>
            </c:numRef>
          </c:yVal>
          <c:smooth val="1"/>
          <c:extLst>
            <c:ext xmlns:c16="http://schemas.microsoft.com/office/drawing/2014/chart" uri="{C3380CC4-5D6E-409C-BE32-E72D297353CC}">
              <c16:uniqueId val="{00000002-2B7D-4CE5-8655-AD27140E8F57}"/>
            </c:ext>
          </c:extLst>
        </c:ser>
        <c:dLbls>
          <c:dLblPos val="t"/>
          <c:showLegendKey val="0"/>
          <c:showVal val="1"/>
          <c:showCatName val="0"/>
          <c:showSerName val="0"/>
          <c:showPercent val="0"/>
          <c:showBubbleSize val="0"/>
        </c:dLbls>
        <c:axId val="1124092624"/>
        <c:axId val="1124105104"/>
      </c:scatterChart>
      <c:valAx>
        <c:axId val="11240926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105104"/>
        <c:crosses val="autoZero"/>
        <c:crossBetween val="midCat"/>
      </c:valAx>
      <c:valAx>
        <c:axId val="112410510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1240926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304800</xdr:colOff>
      <xdr:row>10</xdr:row>
      <xdr:rowOff>66675</xdr:rowOff>
    </xdr:from>
    <xdr:to>
      <xdr:col>13</xdr:col>
      <xdr:colOff>390525</xdr:colOff>
      <xdr:row>24</xdr:row>
      <xdr:rowOff>152400</xdr:rowOff>
    </xdr:to>
    <xdr:graphicFrame macro="">
      <xdr:nvGraphicFramePr>
        <xdr:cNvPr id="2" name="Graphique 1">
          <a:extLst>
            <a:ext uri="{FF2B5EF4-FFF2-40B4-BE49-F238E27FC236}">
              <a16:creationId xmlns:a16="http://schemas.microsoft.com/office/drawing/2014/main" id="{D8BA585A-F620-428B-8829-FF175396D8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200025</xdr:colOff>
      <xdr:row>11</xdr:row>
      <xdr:rowOff>95250</xdr:rowOff>
    </xdr:from>
    <xdr:to>
      <xdr:col>37</xdr:col>
      <xdr:colOff>323850</xdr:colOff>
      <xdr:row>28</xdr:row>
      <xdr:rowOff>0</xdr:rowOff>
    </xdr:to>
    <xdr:graphicFrame macro="">
      <xdr:nvGraphicFramePr>
        <xdr:cNvPr id="3" name="Graphique 2">
          <a:extLst>
            <a:ext uri="{FF2B5EF4-FFF2-40B4-BE49-F238E27FC236}">
              <a16:creationId xmlns:a16="http://schemas.microsoft.com/office/drawing/2014/main" id="{077CCE7F-8AE2-487C-9703-8A0322582FB5}"/>
            </a:ext>
            <a:ext uri="{147F2762-F138-4A5C-976F-8EAC2B608ADB}">
              <a16:predDERef xmlns:a16="http://schemas.microsoft.com/office/drawing/2014/main" pred="{D8BA585A-F620-428B-8829-FF175396D8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295275</xdr:colOff>
      <xdr:row>10</xdr:row>
      <xdr:rowOff>285749</xdr:rowOff>
    </xdr:from>
    <xdr:to>
      <xdr:col>3</xdr:col>
      <xdr:colOff>1047750</xdr:colOff>
      <xdr:row>22</xdr:row>
      <xdr:rowOff>166686</xdr:rowOff>
    </xdr:to>
    <xdr:graphicFrame macro="">
      <xdr:nvGraphicFramePr>
        <xdr:cNvPr id="4" name="Graphique 3">
          <a:extLst>
            <a:ext uri="{FF2B5EF4-FFF2-40B4-BE49-F238E27FC236}">
              <a16:creationId xmlns:a16="http://schemas.microsoft.com/office/drawing/2014/main" id="{BBE35924-EEC6-4560-B44C-FCFF5793FA42}"/>
            </a:ext>
            <a:ext uri="{147F2762-F138-4A5C-976F-8EAC2B608ADB}">
              <a16:predDERef xmlns:a16="http://schemas.microsoft.com/office/drawing/2014/main" pred="{077CCE7F-8AE2-487C-9703-8A0322582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100012</xdr:colOff>
      <xdr:row>28</xdr:row>
      <xdr:rowOff>9525</xdr:rowOff>
    </xdr:from>
    <xdr:to>
      <xdr:col>32</xdr:col>
      <xdr:colOff>100012</xdr:colOff>
      <xdr:row>36</xdr:row>
      <xdr:rowOff>466725</xdr:rowOff>
    </xdr:to>
    <xdr:graphicFrame macro="">
      <xdr:nvGraphicFramePr>
        <xdr:cNvPr id="5" name="Graphique 4">
          <a:extLst>
            <a:ext uri="{FF2B5EF4-FFF2-40B4-BE49-F238E27FC236}">
              <a16:creationId xmlns:a16="http://schemas.microsoft.com/office/drawing/2014/main" id="{A0477B24-18A4-4A76-8BF9-10C0624B2049}"/>
            </a:ext>
            <a:ext uri="{147F2762-F138-4A5C-976F-8EAC2B608ADB}">
              <a16:predDERef xmlns:a16="http://schemas.microsoft.com/office/drawing/2014/main" pred="{BBE35924-EEC6-4560-B44C-FCFF5793FA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685800</xdr:colOff>
      <xdr:row>10</xdr:row>
      <xdr:rowOff>171450</xdr:rowOff>
    </xdr:from>
    <xdr:to>
      <xdr:col>23</xdr:col>
      <xdr:colOff>457200</xdr:colOff>
      <xdr:row>25</xdr:row>
      <xdr:rowOff>66675</xdr:rowOff>
    </xdr:to>
    <xdr:graphicFrame macro="">
      <xdr:nvGraphicFramePr>
        <xdr:cNvPr id="6" name="Graphique 5">
          <a:extLst>
            <a:ext uri="{FF2B5EF4-FFF2-40B4-BE49-F238E27FC236}">
              <a16:creationId xmlns:a16="http://schemas.microsoft.com/office/drawing/2014/main" id="{EE24BE44-EB30-455E-984B-B2386C50E6D5}"/>
            </a:ext>
            <a:ext uri="{147F2762-F138-4A5C-976F-8EAC2B608ADB}">
              <a16:predDERef xmlns:a16="http://schemas.microsoft.com/office/drawing/2014/main" pred="{A0477B24-18A4-4A76-8BF9-10C0624B20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328611</xdr:colOff>
      <xdr:row>13</xdr:row>
      <xdr:rowOff>85726</xdr:rowOff>
    </xdr:from>
    <xdr:to>
      <xdr:col>9</xdr:col>
      <xdr:colOff>504825</xdr:colOff>
      <xdr:row>30</xdr:row>
      <xdr:rowOff>152400</xdr:rowOff>
    </xdr:to>
    <xdr:graphicFrame macro="">
      <xdr:nvGraphicFramePr>
        <xdr:cNvPr id="2" name="Graphique 1">
          <a:extLst>
            <a:ext uri="{FF2B5EF4-FFF2-40B4-BE49-F238E27FC236}">
              <a16:creationId xmlns:a16="http://schemas.microsoft.com/office/drawing/2014/main" id="{AD3D9E25-66A1-43DD-B76F-AA2E31C1E3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133349</xdr:colOff>
      <xdr:row>13</xdr:row>
      <xdr:rowOff>52387</xdr:rowOff>
    </xdr:from>
    <xdr:to>
      <xdr:col>18</xdr:col>
      <xdr:colOff>28574</xdr:colOff>
      <xdr:row>30</xdr:row>
      <xdr:rowOff>180975</xdr:rowOff>
    </xdr:to>
    <xdr:graphicFrame macro="">
      <xdr:nvGraphicFramePr>
        <xdr:cNvPr id="3" name="Graphique 2">
          <a:extLst>
            <a:ext uri="{FF2B5EF4-FFF2-40B4-BE49-F238E27FC236}">
              <a16:creationId xmlns:a16="http://schemas.microsoft.com/office/drawing/2014/main" id="{6F2C0BFD-15E4-459E-B0FE-6AA7B19DAC26}"/>
            </a:ext>
            <a:ext uri="{147F2762-F138-4A5C-976F-8EAC2B608ADB}">
              <a16:predDERef xmlns:a16="http://schemas.microsoft.com/office/drawing/2014/main" pred="{AD3D9E25-66A1-43DD-B76F-AA2E31C1E3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776A3-3BAA-46CE-A617-6C87C04ED2E5}">
  <dimension ref="B1:AJ108"/>
  <sheetViews>
    <sheetView tabSelected="1" topLeftCell="A58" zoomScale="60" zoomScaleNormal="60" workbookViewId="0">
      <selection activeCell="C65" sqref="C65:C73"/>
    </sheetView>
  </sheetViews>
  <sheetFormatPr baseColWidth="10" defaultColWidth="11.42578125" defaultRowHeight="15" x14ac:dyDescent="0.25"/>
  <cols>
    <col min="2" max="2" width="20.5703125" customWidth="1"/>
    <col min="3" max="3" width="24.28515625" customWidth="1"/>
    <col min="4" max="4" width="20.5703125" customWidth="1"/>
    <col min="5" max="5" width="12.5703125" customWidth="1"/>
    <col min="6" max="6" width="17.85546875" customWidth="1"/>
    <col min="7" max="7" width="15.140625" customWidth="1"/>
    <col min="8" max="8" width="12.5703125" customWidth="1"/>
    <col min="9" max="20" width="12.5703125" bestFit="1" customWidth="1"/>
    <col min="21" max="21" width="15.5703125" customWidth="1"/>
    <col min="22" max="25" width="12.5703125" bestFit="1" customWidth="1"/>
  </cols>
  <sheetData>
    <row r="1" spans="2:36" ht="15.75" thickBot="1" x14ac:dyDescent="0.3"/>
    <row r="2" spans="2:36" ht="15.75" thickBot="1" x14ac:dyDescent="0.3">
      <c r="B2" s="192" t="s">
        <v>0</v>
      </c>
      <c r="C2" s="193"/>
      <c r="D2" s="194"/>
      <c r="F2" s="198" t="s">
        <v>1</v>
      </c>
      <c r="G2" s="199"/>
      <c r="H2" s="199"/>
      <c r="I2" s="199"/>
      <c r="J2" s="199"/>
      <c r="K2" s="199"/>
      <c r="L2" s="199"/>
      <c r="M2" s="199"/>
      <c r="N2" s="199"/>
      <c r="O2" s="199"/>
      <c r="P2" s="199"/>
      <c r="Q2" s="199"/>
      <c r="R2" s="199"/>
      <c r="S2" s="200"/>
      <c r="U2" s="1" t="s">
        <v>2</v>
      </c>
      <c r="V2" s="1">
        <v>2021</v>
      </c>
      <c r="W2" s="1">
        <v>2022</v>
      </c>
      <c r="X2" s="1">
        <v>2023</v>
      </c>
      <c r="Y2" s="1">
        <v>2024</v>
      </c>
      <c r="Z2" s="1">
        <v>2025</v>
      </c>
      <c r="AA2" s="1">
        <v>2026</v>
      </c>
      <c r="AB2" s="1">
        <v>2027</v>
      </c>
      <c r="AC2" s="1">
        <v>2028</v>
      </c>
      <c r="AD2" s="1">
        <v>2029</v>
      </c>
      <c r="AE2" s="1">
        <v>2030</v>
      </c>
      <c r="AF2" s="1">
        <v>2031</v>
      </c>
      <c r="AG2" s="1">
        <v>2032</v>
      </c>
      <c r="AH2" s="1">
        <v>2033</v>
      </c>
      <c r="AI2" s="1">
        <v>2034</v>
      </c>
      <c r="AJ2" s="1">
        <v>2035</v>
      </c>
    </row>
    <row r="3" spans="2:36" x14ac:dyDescent="0.25">
      <c r="B3" s="189"/>
      <c r="C3" s="3" t="s">
        <v>3</v>
      </c>
      <c r="D3" s="43">
        <v>0.75</v>
      </c>
      <c r="F3" s="118"/>
      <c r="G3" s="119"/>
      <c r="H3" s="195" t="s">
        <v>4</v>
      </c>
      <c r="I3" s="196"/>
      <c r="J3" s="196"/>
      <c r="K3" s="196"/>
      <c r="L3" s="196"/>
      <c r="M3" s="197"/>
      <c r="N3" s="195" t="s">
        <v>5</v>
      </c>
      <c r="O3" s="196"/>
      <c r="P3" s="196"/>
      <c r="Q3" s="196"/>
      <c r="R3" s="196"/>
      <c r="S3" s="197"/>
      <c r="U3" s="37" t="s">
        <v>6</v>
      </c>
      <c r="V3" s="37"/>
      <c r="W3" s="37"/>
      <c r="X3" s="37"/>
      <c r="Y3" s="37"/>
      <c r="Z3" s="37"/>
      <c r="AA3" s="37"/>
      <c r="AB3" s="37"/>
      <c r="AC3" s="37"/>
      <c r="AD3" s="40" t="s">
        <v>7</v>
      </c>
      <c r="AE3" s="40"/>
      <c r="AF3" s="40"/>
      <c r="AG3" s="40"/>
      <c r="AH3" s="40"/>
      <c r="AI3" s="40"/>
      <c r="AJ3" s="40"/>
    </row>
    <row r="4" spans="2:36" ht="75.75" thickBot="1" x14ac:dyDescent="0.3">
      <c r="B4" s="190"/>
      <c r="C4" s="122" t="s">
        <v>8</v>
      </c>
      <c r="D4" s="96">
        <v>0.02</v>
      </c>
      <c r="F4" s="118"/>
      <c r="G4" s="119"/>
      <c r="H4" s="111" t="s">
        <v>9</v>
      </c>
      <c r="I4" s="122" t="s">
        <v>10</v>
      </c>
      <c r="J4" s="11" t="s">
        <v>11</v>
      </c>
      <c r="K4" s="11" t="s">
        <v>12</v>
      </c>
      <c r="L4" s="104" t="s">
        <v>13</v>
      </c>
      <c r="M4" s="112" t="s">
        <v>14</v>
      </c>
      <c r="N4" s="111" t="s">
        <v>9</v>
      </c>
      <c r="O4" s="122" t="s">
        <v>10</v>
      </c>
      <c r="P4" s="11" t="s">
        <v>11</v>
      </c>
      <c r="Q4" s="11" t="s">
        <v>12</v>
      </c>
      <c r="R4" s="104" t="s">
        <v>13</v>
      </c>
      <c r="S4" s="112" t="s">
        <v>14</v>
      </c>
      <c r="U4" s="1" t="s">
        <v>15</v>
      </c>
      <c r="V4" s="33">
        <v>0</v>
      </c>
      <c r="W4" s="33">
        <f>'Eligible portfolio calculation'!C13</f>
        <v>2.3999999999999998E-3</v>
      </c>
      <c r="X4" s="33">
        <f>'Eligible portfolio calculation'!D13</f>
        <v>5.1262135922330102E-3</v>
      </c>
      <c r="Y4" s="33">
        <f>'Eligible portfolio calculation'!E13</f>
        <v>8.2345178621924774E-3</v>
      </c>
      <c r="Z4" s="33">
        <f>'Eligible portfolio calculation'!F13</f>
        <v>1.1789953025778625E-2</v>
      </c>
      <c r="AA4" s="33">
        <f>'Eligible portfolio calculation'!G13</f>
        <v>1.5057009213227864E-2</v>
      </c>
      <c r="AB4" s="33">
        <f>'Eligible portfolio calculation'!H13</f>
        <v>1.88248084138373E-2</v>
      </c>
      <c r="AC4" s="33">
        <f>'Eligible portfolio calculation'!I13</f>
        <v>2.2874106152257358E-2</v>
      </c>
      <c r="AD4" s="33">
        <f>'Eligible portfolio calculation'!J13</f>
        <v>2.6981598451868306E-2</v>
      </c>
      <c r="AE4" s="33">
        <f>'Eligible portfolio calculation'!K13</f>
        <v>3.1135060851425672E-2</v>
      </c>
      <c r="AF4" s="33">
        <f>'Eligible portfolio calculation'!L13</f>
        <v>3.4588433763017214E-2</v>
      </c>
      <c r="AG4" s="33">
        <f>'Eligible portfolio calculation'!M13</f>
        <v>3.7951122280103645E-2</v>
      </c>
      <c r="AH4" s="33">
        <f>'Eligible portfolio calculation'!N13</f>
        <v>4.153530315449027E-2</v>
      </c>
      <c r="AI4" s="33">
        <f>'Eligible portfolio calculation'!O13</f>
        <v>4.4872736147197716E-2</v>
      </c>
      <c r="AJ4" s="33">
        <f>'Eligible portfolio calculation'!P13</f>
        <v>4.8285412981078094E-2</v>
      </c>
    </row>
    <row r="5" spans="2:36" ht="30" x14ac:dyDescent="0.25">
      <c r="B5" s="190"/>
      <c r="C5" s="123" t="s">
        <v>26</v>
      </c>
      <c r="D5" s="124">
        <v>1.03</v>
      </c>
      <c r="F5" s="186" t="s">
        <v>16</v>
      </c>
      <c r="G5" s="114" t="s">
        <v>17</v>
      </c>
      <c r="H5" s="72">
        <f>D52/6</f>
        <v>-5.2887038261295892E-2</v>
      </c>
      <c r="I5" s="33">
        <f>H5/(SUM($L46:$Q46)/6)</f>
        <v>-1.5714285714285747E-3</v>
      </c>
      <c r="J5" s="134">
        <f>D53/6</f>
        <v>0.35549715698080792</v>
      </c>
      <c r="K5" s="5">
        <v>0</v>
      </c>
      <c r="L5" s="110">
        <f>AC4</f>
        <v>2.2874106152257358E-2</v>
      </c>
      <c r="M5" s="116">
        <f>AC5</f>
        <v>5.7185265380643394E-3</v>
      </c>
      <c r="N5" s="72">
        <f>SUM(L52:X52)</f>
        <v>-0.76616543704695417</v>
      </c>
      <c r="O5" s="33">
        <f>N5/(AVERAGE($L46:$X46))</f>
        <v>-2.0428571428569662E-2</v>
      </c>
      <c r="P5" s="139">
        <f>SUM(G53:X53)/14</f>
        <v>0.53068856623153648</v>
      </c>
      <c r="Q5" s="1">
        <v>0</v>
      </c>
      <c r="R5" s="110">
        <f>AJ4</f>
        <v>4.8285412981078094E-2</v>
      </c>
      <c r="S5" s="132">
        <f>AJ5</f>
        <v>1.2071353245269523E-2</v>
      </c>
      <c r="U5" s="11" t="s">
        <v>18</v>
      </c>
      <c r="V5" s="33">
        <f t="shared" ref="V5:AJ5" si="0">(1-$D$3)*V4</f>
        <v>0</v>
      </c>
      <c r="W5" s="33">
        <f t="shared" si="0"/>
        <v>5.9999999999999995E-4</v>
      </c>
      <c r="X5" s="33">
        <f t="shared" si="0"/>
        <v>1.2815533980582525E-3</v>
      </c>
      <c r="Y5" s="33">
        <f t="shared" si="0"/>
        <v>2.0586294655481193E-3</v>
      </c>
      <c r="Z5" s="33">
        <f t="shared" si="0"/>
        <v>2.9474882564446562E-3</v>
      </c>
      <c r="AA5" s="33">
        <f t="shared" si="0"/>
        <v>3.764252303306966E-3</v>
      </c>
      <c r="AB5" s="33">
        <f t="shared" si="0"/>
        <v>4.7062021034593249E-3</v>
      </c>
      <c r="AC5" s="33">
        <f t="shared" si="0"/>
        <v>5.7185265380643394E-3</v>
      </c>
      <c r="AD5" s="33">
        <f t="shared" si="0"/>
        <v>6.7453996129670764E-3</v>
      </c>
      <c r="AE5" s="33">
        <f t="shared" si="0"/>
        <v>7.783765212856418E-3</v>
      </c>
      <c r="AF5" s="33">
        <f t="shared" si="0"/>
        <v>8.6471084407543034E-3</v>
      </c>
      <c r="AG5" s="33">
        <f t="shared" si="0"/>
        <v>9.4877805700259114E-3</v>
      </c>
      <c r="AH5" s="33">
        <f t="shared" si="0"/>
        <v>1.0383825788622568E-2</v>
      </c>
      <c r="AI5" s="33">
        <f t="shared" si="0"/>
        <v>1.1218184036799429E-2</v>
      </c>
      <c r="AJ5" s="33">
        <f t="shared" si="0"/>
        <v>1.2071353245269523E-2</v>
      </c>
    </row>
    <row r="6" spans="2:36" x14ac:dyDescent="0.25">
      <c r="B6" s="190"/>
      <c r="C6" s="125" t="s">
        <v>19</v>
      </c>
      <c r="D6" s="126">
        <v>0.12</v>
      </c>
      <c r="F6" s="187"/>
      <c r="G6" s="38" t="s">
        <v>20</v>
      </c>
      <c r="H6" s="72">
        <f>D62/6</f>
        <v>-5.2887038261295892E-2</v>
      </c>
      <c r="I6" s="33">
        <f>H6/(SUM($L56:$Q56)/6)</f>
        <v>-1.5714285714285747E-3</v>
      </c>
      <c r="J6" s="134">
        <f>D63/6</f>
        <v>0.27479354122528815</v>
      </c>
      <c r="K6" s="5">
        <v>0</v>
      </c>
      <c r="L6" s="110">
        <f>AC7</f>
        <v>1.6283217795552495E-2</v>
      </c>
      <c r="M6" s="116">
        <f>AC8</f>
        <v>4.0708044488881236E-3</v>
      </c>
      <c r="N6" s="72">
        <f>SUM(L62:X62)</f>
        <v>-0.76616543704695417</v>
      </c>
      <c r="O6" s="33">
        <f>N6/(AVERAGE($L56:$X56))</f>
        <v>-2.0428571428569662E-2</v>
      </c>
      <c r="P6" s="134">
        <f>SUM(G63:X63)/14</f>
        <v>0.3430915684043287</v>
      </c>
      <c r="Q6" s="1">
        <v>0</v>
      </c>
      <c r="R6" s="110">
        <f>AJ7</f>
        <v>2.8994664518202352E-2</v>
      </c>
      <c r="S6" s="132">
        <f>AJ8</f>
        <v>7.2486661295505881E-3</v>
      </c>
      <c r="U6" s="37" t="s">
        <v>21</v>
      </c>
      <c r="V6" s="37"/>
      <c r="W6" s="37"/>
      <c r="X6" s="37"/>
      <c r="Y6" s="37"/>
      <c r="Z6" s="37"/>
      <c r="AA6" s="37"/>
      <c r="AB6" s="37"/>
      <c r="AC6" s="37"/>
      <c r="AD6" s="40" t="s">
        <v>22</v>
      </c>
      <c r="AE6" s="40"/>
      <c r="AF6" s="40"/>
      <c r="AG6" s="40"/>
      <c r="AH6" s="40"/>
      <c r="AI6" s="40"/>
      <c r="AJ6" s="40"/>
    </row>
    <row r="7" spans="2:36" ht="31.5" customHeight="1" thickBot="1" x14ac:dyDescent="0.3">
      <c r="B7" s="191"/>
      <c r="C7" s="120" t="s">
        <v>23</v>
      </c>
      <c r="D7" s="121" t="s">
        <v>24</v>
      </c>
      <c r="F7" s="188"/>
      <c r="G7" s="115" t="s">
        <v>25</v>
      </c>
      <c r="H7" s="72">
        <f>D72/6</f>
        <v>-5.2887038261295892E-2</v>
      </c>
      <c r="I7" s="33">
        <f>H7/(SUM($L66:$Q66)/6)</f>
        <v>-1.5714285714285747E-3</v>
      </c>
      <c r="J7" s="134">
        <f>D73/6</f>
        <v>0.22953052516194816</v>
      </c>
      <c r="K7" s="5">
        <v>0</v>
      </c>
      <c r="L7" s="110">
        <f>AC10</f>
        <v>1.2814533301999732E-2</v>
      </c>
      <c r="M7" s="116">
        <f>AC11</f>
        <v>3.203633325499933E-3</v>
      </c>
      <c r="N7" s="72">
        <f>SUM(L72:X72)</f>
        <v>-0.76616543704695417</v>
      </c>
      <c r="O7" s="33">
        <f>N7/AVERAGE($L66:$X66)</f>
        <v>-2.0428571428569662E-2</v>
      </c>
      <c r="P7" s="134">
        <f>SUM(G73:X73)/14</f>
        <v>0.20919529378805432</v>
      </c>
      <c r="Q7" s="1">
        <v>0</v>
      </c>
      <c r="R7" s="110">
        <f>AJ10</f>
        <v>1.5226004125685455E-2</v>
      </c>
      <c r="S7" s="132">
        <f>AJ11</f>
        <v>3.8065010314213637E-3</v>
      </c>
      <c r="U7" s="1" t="s">
        <v>15</v>
      </c>
      <c r="V7" s="33">
        <v>0</v>
      </c>
      <c r="W7" s="33">
        <f>'Eligible portfolio calculation'!C19</f>
        <v>2.3999999999999998E-3</v>
      </c>
      <c r="X7" s="33">
        <f>'Eligible portfolio calculation'!D19</f>
        <v>4.8932038834951456E-3</v>
      </c>
      <c r="Y7" s="33">
        <f>'Eligible portfolio calculation'!E19</f>
        <v>7.4879819021585452E-3</v>
      </c>
      <c r="Z7" s="33">
        <f>'Eligible portfolio calculation'!F19</f>
        <v>1.0193213858539234E-2</v>
      </c>
      <c r="AA7" s="33">
        <f>'Eligible portfolio calculation'!G19</f>
        <v>1.2207098158333506E-2</v>
      </c>
      <c r="AB7" s="33">
        <f>'Eligible portfolio calculation'!H19</f>
        <v>1.431936852868528E-2</v>
      </c>
      <c r="AC7" s="33">
        <f>'Eligible portfolio calculation'!I19</f>
        <v>1.6283217795552495E-2</v>
      </c>
      <c r="AD7" s="33">
        <f>'Eligible portfolio calculation'!J19</f>
        <v>1.8351677547578691E-2</v>
      </c>
      <c r="AE7" s="33">
        <f>'Eligible portfolio calculation'!K19</f>
        <v>2.0532697672075568E-2</v>
      </c>
      <c r="AF7" s="33">
        <f>'Eligible portfolio calculation'!L19</f>
        <v>2.2104981842157281E-2</v>
      </c>
      <c r="AG7" s="33">
        <f>'Eligible portfolio calculation'!M19</f>
        <v>2.377896906900091E-2</v>
      </c>
      <c r="AH7" s="33">
        <f>'Eligible portfolio calculation'!N19</f>
        <v>2.5649934339222764E-2</v>
      </c>
      <c r="AI7" s="33">
        <f>'Eligible portfolio calculation'!O19</f>
        <v>2.7265542006706389E-2</v>
      </c>
      <c r="AJ7" s="33">
        <f>'Eligible portfolio calculation'!P19</f>
        <v>2.8994664518202352E-2</v>
      </c>
    </row>
    <row r="8" spans="2:36" ht="19.5" customHeight="1" x14ac:dyDescent="0.25">
      <c r="B8" s="68" t="s">
        <v>17</v>
      </c>
      <c r="C8" s="95">
        <v>0.2</v>
      </c>
      <c r="D8" s="96">
        <v>0.1</v>
      </c>
      <c r="F8" s="183" t="s">
        <v>26</v>
      </c>
      <c r="G8" s="68" t="s">
        <v>17</v>
      </c>
      <c r="H8" s="144">
        <f>D87/6</f>
        <v>6.0416680873778716E-2</v>
      </c>
      <c r="I8" s="138">
        <f>H8/(SUM($L$86:$R$86)/6)</f>
        <v>1.5083238958070611E-3</v>
      </c>
      <c r="J8" s="136">
        <v>0</v>
      </c>
      <c r="K8" s="137">
        <f>R83</f>
        <v>5.7514161640298926E-3</v>
      </c>
      <c r="L8" s="110">
        <f>AC4</f>
        <v>2.2874106152257358E-2</v>
      </c>
      <c r="M8" s="116">
        <f>AC5</f>
        <v>5.7185265380643394E-3</v>
      </c>
      <c r="N8" s="140">
        <f>AVERAGE(L87:X87)</f>
        <v>0.23375137724678624</v>
      </c>
      <c r="O8" s="138">
        <f>N8/(AVERAGE($L$86:$X$86))</f>
        <v>6.1843424084316225E-3</v>
      </c>
      <c r="P8" s="8">
        <f>SUM(G87:X87)</f>
        <v>3.0387679042082212</v>
      </c>
      <c r="Q8" s="137">
        <f>X83</f>
        <v>1.1345459489332816E-2</v>
      </c>
      <c r="R8" s="110">
        <f>AJ4</f>
        <v>4.8285412981078094E-2</v>
      </c>
      <c r="S8" s="132">
        <f>AJ5</f>
        <v>1.2071353245269523E-2</v>
      </c>
      <c r="U8" s="11" t="s">
        <v>18</v>
      </c>
      <c r="V8" s="33">
        <f t="shared" ref="V8:AJ8" si="1">(1-$D$3)*V7</f>
        <v>0</v>
      </c>
      <c r="W8" s="33">
        <f t="shared" si="1"/>
        <v>5.9999999999999995E-4</v>
      </c>
      <c r="X8" s="33">
        <f t="shared" si="1"/>
        <v>1.2233009708737864E-3</v>
      </c>
      <c r="Y8" s="33">
        <f t="shared" si="1"/>
        <v>1.8719954755396363E-3</v>
      </c>
      <c r="Z8" s="33">
        <f t="shared" si="1"/>
        <v>2.5483034646348085E-3</v>
      </c>
      <c r="AA8" s="33">
        <f t="shared" si="1"/>
        <v>3.0517745395833764E-3</v>
      </c>
      <c r="AB8" s="33">
        <f t="shared" si="1"/>
        <v>3.5798421321713201E-3</v>
      </c>
      <c r="AC8" s="33">
        <f t="shared" si="1"/>
        <v>4.0708044488881236E-3</v>
      </c>
      <c r="AD8" s="33">
        <f t="shared" si="1"/>
        <v>4.5879193868946727E-3</v>
      </c>
      <c r="AE8" s="33">
        <f t="shared" si="1"/>
        <v>5.133174418018892E-3</v>
      </c>
      <c r="AF8" s="33">
        <f t="shared" si="1"/>
        <v>5.5262454605393202E-3</v>
      </c>
      <c r="AG8" s="33">
        <f t="shared" si="1"/>
        <v>5.9447422672502274E-3</v>
      </c>
      <c r="AH8" s="33">
        <f t="shared" si="1"/>
        <v>6.4124835848056909E-3</v>
      </c>
      <c r="AI8" s="33">
        <f t="shared" si="1"/>
        <v>6.8163855016765973E-3</v>
      </c>
      <c r="AJ8" s="33">
        <f t="shared" si="1"/>
        <v>7.2486661295505881E-3</v>
      </c>
    </row>
    <row r="9" spans="2:36" x14ac:dyDescent="0.25">
      <c r="B9" s="97" t="s">
        <v>20</v>
      </c>
      <c r="C9" s="95">
        <v>0.1</v>
      </c>
      <c r="D9" s="96">
        <v>0.1</v>
      </c>
      <c r="F9" s="184"/>
      <c r="G9" s="97" t="s">
        <v>20</v>
      </c>
      <c r="H9" s="144">
        <f>D97/6</f>
        <v>5.2574155091508125E-2</v>
      </c>
      <c r="I9" s="138">
        <f>H9/(SUM($L$96:$R$96)/6)</f>
        <v>1.3133540604109094E-3</v>
      </c>
      <c r="J9" s="136">
        <v>0</v>
      </c>
      <c r="K9" s="137">
        <f>R93</f>
        <v>4.087443632612227E-3</v>
      </c>
      <c r="L9" s="110">
        <f>AC7</f>
        <v>1.6283217795552495E-2</v>
      </c>
      <c r="M9" s="116">
        <f>AC8</f>
        <v>4.0708044488881236E-3</v>
      </c>
      <c r="N9" s="140">
        <f>AVERAGE(L97:X97)</f>
        <v>0.1571670951996669</v>
      </c>
      <c r="O9" s="138">
        <f>N9/(AVERAGE($L$96:$X$96))</f>
        <v>4.1666001842108899E-3</v>
      </c>
      <c r="P9" s="8">
        <f>SUM(G97:X97)</f>
        <v>2.0431722375956696</v>
      </c>
      <c r="Q9" s="137">
        <f>X93</f>
        <v>6.8631674970994015E-3</v>
      </c>
      <c r="R9" s="110">
        <f>AJ7</f>
        <v>2.8994664518202352E-2</v>
      </c>
      <c r="S9" s="132">
        <f>AJ8</f>
        <v>7.2486661295505881E-3</v>
      </c>
      <c r="U9" s="37" t="s">
        <v>27</v>
      </c>
      <c r="V9" s="37"/>
      <c r="W9" s="37"/>
      <c r="X9" s="37"/>
      <c r="Y9" s="37"/>
      <c r="Z9" s="37"/>
      <c r="AA9" s="37"/>
      <c r="AB9" s="37"/>
      <c r="AC9" s="37"/>
      <c r="AD9" s="40" t="s">
        <v>28</v>
      </c>
      <c r="AE9" s="40"/>
      <c r="AF9" s="40"/>
      <c r="AG9" s="40"/>
      <c r="AH9" s="40"/>
      <c r="AI9" s="40"/>
      <c r="AJ9" s="40"/>
    </row>
    <row r="10" spans="2:36" ht="26.25" customHeight="1" thickBot="1" x14ac:dyDescent="0.3">
      <c r="B10" s="98" t="s">
        <v>25</v>
      </c>
      <c r="C10" s="99">
        <v>0.03</v>
      </c>
      <c r="D10" s="100">
        <v>0.03</v>
      </c>
      <c r="F10" s="185"/>
      <c r="G10" s="98" t="s">
        <v>25</v>
      </c>
      <c r="H10" s="145">
        <f>D107/6</f>
        <v>4.7727208171477763E-2</v>
      </c>
      <c r="I10" s="146">
        <f>H10/(SUM($L$106:$R$106)/6)</f>
        <v>1.1926933763110026E-3</v>
      </c>
      <c r="J10" s="141">
        <v>0</v>
      </c>
      <c r="K10" s="142">
        <f>R103</f>
        <v>3.2139295773998908E-3</v>
      </c>
      <c r="L10" s="113">
        <f>AC10</f>
        <v>1.2814533301999732E-2</v>
      </c>
      <c r="M10" s="117">
        <f>AC11</f>
        <v>3.203633325499933E-3</v>
      </c>
      <c r="N10" s="140">
        <f>AVERAGE(L107:X107)</f>
        <v>0.11124700528062338</v>
      </c>
      <c r="O10" s="146">
        <f>N10/(AVERAGE($L$106:$X106))</f>
        <v>2.9528239218328716E-3</v>
      </c>
      <c r="P10" s="143">
        <f>SUM(G107:X107)</f>
        <v>1.446211068648104</v>
      </c>
      <c r="Q10" s="142">
        <f>X103</f>
        <v>3.8484072832561437E-3</v>
      </c>
      <c r="R10" s="113">
        <f>AJ10</f>
        <v>1.5226004125685455E-2</v>
      </c>
      <c r="S10" s="133">
        <f>AJ11</f>
        <v>3.8065010314213637E-3</v>
      </c>
      <c r="U10" s="1" t="s">
        <v>15</v>
      </c>
      <c r="V10" s="33">
        <v>0</v>
      </c>
      <c r="W10" s="33">
        <f>'Eligible portfolio calculation'!C25</f>
        <v>2.3999999999999998E-3</v>
      </c>
      <c r="X10" s="33">
        <f>'Eligible portfolio calculation'!D25</f>
        <v>4.7300970873786407E-3</v>
      </c>
      <c r="Y10" s="33">
        <f>'Eligible portfolio calculation'!E25</f>
        <v>6.9923272692996499E-3</v>
      </c>
      <c r="Z10" s="33">
        <f>'Eligible portfolio calculation'!F25</f>
        <v>9.1886672517472335E-3</v>
      </c>
      <c r="AA10" s="33">
        <f>'Eligible portfolio calculation'!G25</f>
        <v>1.0509808862126217E-2</v>
      </c>
      <c r="AB10" s="33">
        <f>'Eligible portfolio calculation'!H25</f>
        <v>1.1792470619775713E-2</v>
      </c>
      <c r="AC10" s="33">
        <f>'Eligible portfolio calculation'!I25</f>
        <v>1.2814533301999732E-2</v>
      </c>
      <c r="AD10" s="33">
        <f>'Eligible portfolio calculation'!J25</f>
        <v>1.3806827168236644E-2</v>
      </c>
      <c r="AE10" s="33">
        <f>'Eligible portfolio calculation'!K25</f>
        <v>1.4770219271379273E-2</v>
      </c>
      <c r="AF10" s="33">
        <f>'Eligible portfolio calculation'!L25</f>
        <v>1.4975789391295074E-2</v>
      </c>
      <c r="AG10" s="33">
        <f>'Eligible portfolio calculation'!M25</f>
        <v>1.5175372031990026E-2</v>
      </c>
      <c r="AH10" s="33">
        <f>'Eligible portfolio calculation'!N25</f>
        <v>1.5446484784910283E-2</v>
      </c>
      <c r="AI10" s="33">
        <f>'Eligible portfolio calculation'!O25</f>
        <v>1.5334615287865172E-2</v>
      </c>
      <c r="AJ10" s="33">
        <f>'Eligible portfolio calculation'!P25</f>
        <v>1.5226004125685455E-2</v>
      </c>
    </row>
    <row r="11" spans="2:36" ht="30" x14ac:dyDescent="0.25">
      <c r="D11" s="94"/>
      <c r="U11" s="11" t="s">
        <v>18</v>
      </c>
      <c r="V11" s="33">
        <f t="shared" ref="V11:AJ11" si="2">(1-$D$3)*V10</f>
        <v>0</v>
      </c>
      <c r="W11" s="33">
        <f t="shared" si="2"/>
        <v>5.9999999999999995E-4</v>
      </c>
      <c r="X11" s="33">
        <f t="shared" si="2"/>
        <v>1.1825242718446602E-3</v>
      </c>
      <c r="Y11" s="33">
        <f t="shared" si="2"/>
        <v>1.7480818173249125E-3</v>
      </c>
      <c r="Z11" s="33">
        <f t="shared" si="2"/>
        <v>2.2971668129368084E-3</v>
      </c>
      <c r="AA11" s="33">
        <f t="shared" si="2"/>
        <v>2.6274522155315541E-3</v>
      </c>
      <c r="AB11" s="33">
        <f t="shared" si="2"/>
        <v>2.9481176549439282E-3</v>
      </c>
      <c r="AC11" s="33">
        <f t="shared" si="2"/>
        <v>3.203633325499933E-3</v>
      </c>
      <c r="AD11" s="33">
        <f t="shared" si="2"/>
        <v>3.451706792059161E-3</v>
      </c>
      <c r="AE11" s="33">
        <f t="shared" si="2"/>
        <v>3.6925548178448181E-3</v>
      </c>
      <c r="AF11" s="33">
        <f t="shared" si="2"/>
        <v>3.7439473478237686E-3</v>
      </c>
      <c r="AG11" s="33">
        <f t="shared" si="2"/>
        <v>3.7938430079975066E-3</v>
      </c>
      <c r="AH11" s="33">
        <f t="shared" si="2"/>
        <v>3.8616211962275706E-3</v>
      </c>
      <c r="AI11" s="33">
        <f t="shared" si="2"/>
        <v>3.833653821966293E-3</v>
      </c>
      <c r="AJ11" s="33">
        <f t="shared" si="2"/>
        <v>3.8065010314213637E-3</v>
      </c>
    </row>
    <row r="12" spans="2:36" x14ac:dyDescent="0.25">
      <c r="D12" s="94"/>
      <c r="S12" s="30"/>
      <c r="T12" s="36"/>
      <c r="U12" s="36"/>
      <c r="V12" s="36"/>
      <c r="W12" s="36"/>
      <c r="X12" s="36"/>
      <c r="Y12" s="36"/>
      <c r="Z12" s="36"/>
      <c r="AA12" s="36"/>
      <c r="AB12" s="36"/>
      <c r="AC12" s="36"/>
      <c r="AD12" s="36"/>
      <c r="AE12" s="36"/>
      <c r="AF12" s="36"/>
      <c r="AG12" s="36"/>
      <c r="AH12" s="36"/>
    </row>
    <row r="13" spans="2:36" x14ac:dyDescent="0.25">
      <c r="D13" s="94"/>
      <c r="S13" s="30"/>
      <c r="T13" s="36"/>
      <c r="U13" s="36"/>
      <c r="V13" s="36"/>
      <c r="W13" s="36"/>
      <c r="X13" s="36"/>
      <c r="Y13" s="36"/>
      <c r="Z13" s="36"/>
      <c r="AA13" s="36"/>
      <c r="AB13" s="36"/>
      <c r="AC13" s="36"/>
      <c r="AD13" s="36"/>
      <c r="AE13" s="36"/>
      <c r="AF13" s="36"/>
      <c r="AG13" s="36"/>
      <c r="AH13" s="36"/>
    </row>
    <row r="14" spans="2:36" x14ac:dyDescent="0.25">
      <c r="D14" s="94"/>
      <c r="S14" s="30"/>
      <c r="T14" s="36"/>
      <c r="U14" s="36"/>
      <c r="V14" s="36"/>
      <c r="W14" s="36"/>
      <c r="X14" s="36"/>
      <c r="Y14" s="36"/>
      <c r="Z14" s="36"/>
      <c r="AA14" s="36"/>
      <c r="AB14" s="36"/>
      <c r="AC14" s="36"/>
      <c r="AD14" s="36"/>
      <c r="AE14" s="36"/>
      <c r="AF14" s="36"/>
      <c r="AG14" s="36"/>
      <c r="AH14" s="36"/>
    </row>
    <row r="15" spans="2:36" x14ac:dyDescent="0.25">
      <c r="D15" s="94"/>
      <c r="S15" s="30"/>
      <c r="T15" s="36"/>
      <c r="U15" s="36"/>
      <c r="V15" s="36"/>
      <c r="W15" s="36"/>
      <c r="X15" s="36"/>
      <c r="Y15" s="36"/>
      <c r="Z15" s="36"/>
      <c r="AA15" s="36"/>
      <c r="AB15" s="36"/>
      <c r="AC15" s="36"/>
      <c r="AD15" s="36"/>
      <c r="AE15" s="36"/>
      <c r="AF15" s="36"/>
      <c r="AG15" s="36"/>
      <c r="AH15" s="36"/>
    </row>
    <row r="16" spans="2:36" x14ac:dyDescent="0.25">
      <c r="D16" s="94"/>
      <c r="S16" s="30"/>
      <c r="T16" s="36"/>
      <c r="U16" s="36"/>
      <c r="V16" s="36"/>
      <c r="W16" s="36"/>
      <c r="X16" s="36"/>
      <c r="Y16" s="36"/>
      <c r="Z16" s="36"/>
      <c r="AA16" s="36"/>
      <c r="AB16" s="36"/>
      <c r="AC16" s="36"/>
      <c r="AD16" s="36"/>
      <c r="AE16" s="36"/>
      <c r="AF16" s="36"/>
      <c r="AG16" s="36"/>
      <c r="AH16" s="36"/>
    </row>
    <row r="17" spans="2:34" x14ac:dyDescent="0.25">
      <c r="D17" s="94"/>
      <c r="S17" s="30"/>
      <c r="T17" s="36"/>
      <c r="U17" s="36"/>
      <c r="V17" s="36"/>
      <c r="W17" s="36"/>
      <c r="X17" s="36"/>
      <c r="Y17" s="36"/>
      <c r="Z17" s="36"/>
      <c r="AA17" s="36"/>
      <c r="AB17" s="36"/>
      <c r="AC17" s="36"/>
      <c r="AD17" s="36"/>
      <c r="AE17" s="36"/>
      <c r="AF17" s="36"/>
      <c r="AG17" s="36"/>
      <c r="AH17" s="36"/>
    </row>
    <row r="18" spans="2:34" x14ac:dyDescent="0.25">
      <c r="D18" s="94"/>
      <c r="S18" s="30"/>
      <c r="T18" s="36"/>
      <c r="U18" s="36"/>
      <c r="V18" s="36"/>
      <c r="W18" s="36"/>
      <c r="X18" s="36"/>
      <c r="Y18" s="36"/>
      <c r="Z18" s="36"/>
      <c r="AA18" s="36"/>
      <c r="AB18" s="36"/>
      <c r="AC18" s="36"/>
      <c r="AD18" s="36"/>
      <c r="AE18" s="36"/>
      <c r="AF18" s="36"/>
      <c r="AG18" s="36"/>
      <c r="AH18" s="36"/>
    </row>
    <row r="19" spans="2:34" x14ac:dyDescent="0.25">
      <c r="D19" s="94"/>
      <c r="S19" s="30"/>
      <c r="T19" s="36"/>
      <c r="U19" s="36"/>
      <c r="V19" s="36"/>
      <c r="W19" s="36"/>
      <c r="X19" s="36"/>
      <c r="Y19" s="36"/>
      <c r="Z19" s="36"/>
      <c r="AA19" s="36"/>
      <c r="AB19" s="36"/>
      <c r="AC19" s="36"/>
      <c r="AD19" s="36"/>
      <c r="AE19" s="36"/>
      <c r="AF19" s="36"/>
      <c r="AG19" s="36"/>
      <c r="AH19" s="36"/>
    </row>
    <row r="20" spans="2:34" x14ac:dyDescent="0.25">
      <c r="D20" s="94"/>
      <c r="S20" s="30"/>
      <c r="T20" s="36"/>
      <c r="U20" s="36"/>
      <c r="V20" s="36"/>
      <c r="W20" s="36"/>
      <c r="X20" s="36"/>
      <c r="Y20" s="36"/>
      <c r="Z20" s="36"/>
      <c r="AA20" s="36"/>
      <c r="AB20" s="36"/>
      <c r="AC20" s="36"/>
      <c r="AD20" s="36"/>
      <c r="AE20" s="36"/>
      <c r="AF20" s="36"/>
      <c r="AG20" s="36"/>
      <c r="AH20" s="36"/>
    </row>
    <row r="21" spans="2:34" x14ac:dyDescent="0.25">
      <c r="D21" s="94"/>
      <c r="S21" s="30"/>
      <c r="T21" s="36"/>
      <c r="U21" s="36"/>
      <c r="V21" s="36"/>
      <c r="W21" s="36"/>
      <c r="X21" s="36"/>
      <c r="Y21" s="36"/>
      <c r="Z21" s="36"/>
      <c r="AA21" s="36"/>
      <c r="AB21" s="36"/>
      <c r="AC21" s="36"/>
      <c r="AD21" s="36"/>
      <c r="AE21" s="36"/>
      <c r="AF21" s="36"/>
      <c r="AG21" s="36"/>
      <c r="AH21" s="36"/>
    </row>
    <row r="22" spans="2:34" x14ac:dyDescent="0.25">
      <c r="D22" s="94"/>
      <c r="S22" s="30"/>
      <c r="T22" s="36"/>
      <c r="U22" s="36"/>
      <c r="V22" s="36"/>
      <c r="W22" s="36"/>
      <c r="X22" s="36"/>
      <c r="Y22" s="36"/>
      <c r="Z22" s="36"/>
      <c r="AA22" s="36"/>
      <c r="AB22" s="36"/>
      <c r="AC22" s="36"/>
      <c r="AD22" s="36"/>
      <c r="AE22" s="36"/>
      <c r="AF22" s="36"/>
      <c r="AG22" s="36"/>
      <c r="AH22" s="36"/>
    </row>
    <row r="23" spans="2:34" x14ac:dyDescent="0.25">
      <c r="D23" s="94"/>
      <c r="S23" s="30"/>
      <c r="T23" s="36"/>
      <c r="U23" s="36"/>
      <c r="V23" s="36"/>
      <c r="W23" s="36"/>
      <c r="X23" s="36"/>
      <c r="Y23" s="36"/>
      <c r="Z23" s="36"/>
      <c r="AA23" s="36"/>
      <c r="AB23" s="36"/>
      <c r="AC23" s="36"/>
      <c r="AD23" s="36"/>
      <c r="AE23" s="36"/>
      <c r="AF23" s="36"/>
      <c r="AG23" s="36"/>
      <c r="AH23" s="36"/>
    </row>
    <row r="24" spans="2:34" ht="12.75" customHeight="1" x14ac:dyDescent="0.25"/>
    <row r="27" spans="2:34" ht="15.75" thickBot="1" x14ac:dyDescent="0.3">
      <c r="S27" s="28"/>
      <c r="T27" s="28"/>
      <c r="U27" s="28"/>
      <c r="V27" s="28"/>
    </row>
    <row r="28" spans="2:34" x14ac:dyDescent="0.25">
      <c r="B28" s="160" t="s">
        <v>29</v>
      </c>
      <c r="C28" s="163" t="s">
        <v>30</v>
      </c>
      <c r="D28" s="164"/>
      <c r="E28" s="164"/>
      <c r="F28" s="164"/>
      <c r="G28" s="164"/>
      <c r="H28" s="164"/>
      <c r="I28" s="164"/>
      <c r="J28" s="164"/>
      <c r="K28" s="164"/>
      <c r="L28" s="164"/>
      <c r="M28" s="164"/>
      <c r="N28" s="164"/>
      <c r="O28" s="164"/>
      <c r="P28" s="164"/>
      <c r="Q28" s="164"/>
      <c r="R28" s="165"/>
      <c r="S28" s="61"/>
      <c r="T28" s="62"/>
      <c r="U28" s="62"/>
      <c r="V28" s="62"/>
      <c r="W28" s="63"/>
      <c r="X28" s="63"/>
      <c r="Y28" s="64"/>
    </row>
    <row r="29" spans="2:34" x14ac:dyDescent="0.25">
      <c r="B29" s="161"/>
      <c r="C29" s="12" t="s">
        <v>31</v>
      </c>
      <c r="D29" s="84">
        <f>I34/I30</f>
        <v>0.33667332287357959</v>
      </c>
      <c r="E29" s="1"/>
      <c r="F29" s="1">
        <v>2016</v>
      </c>
      <c r="G29" s="1">
        <v>2017</v>
      </c>
      <c r="H29" s="1">
        <v>2018</v>
      </c>
      <c r="I29" s="4">
        <v>2019</v>
      </c>
      <c r="J29" s="1">
        <v>2020</v>
      </c>
      <c r="K29" s="1">
        <v>2021</v>
      </c>
      <c r="L29" s="1">
        <v>2022</v>
      </c>
      <c r="M29" s="1">
        <v>2023</v>
      </c>
      <c r="N29" s="1">
        <v>2024</v>
      </c>
      <c r="O29" s="1">
        <v>2025</v>
      </c>
      <c r="P29" s="1">
        <v>2026</v>
      </c>
      <c r="Q29" s="1">
        <v>2027</v>
      </c>
      <c r="R29" s="49">
        <v>2028</v>
      </c>
      <c r="S29" s="68">
        <v>2029</v>
      </c>
      <c r="T29" s="38">
        <v>2030</v>
      </c>
      <c r="U29" s="1">
        <v>2031</v>
      </c>
      <c r="V29" s="38">
        <v>2032</v>
      </c>
      <c r="W29" s="1">
        <v>2033</v>
      </c>
      <c r="X29" s="38">
        <v>2034</v>
      </c>
      <c r="Y29" s="49">
        <v>2035</v>
      </c>
    </row>
    <row r="30" spans="2:34" x14ac:dyDescent="0.25">
      <c r="B30" s="161"/>
      <c r="C30" s="12" t="s">
        <v>32</v>
      </c>
      <c r="D30" s="6">
        <f>D5</f>
        <v>1.03</v>
      </c>
      <c r="E30" s="1" t="s">
        <v>33</v>
      </c>
      <c r="F30" s="8">
        <f>G30/$D$30</f>
        <v>6416.0581737250013</v>
      </c>
      <c r="G30" s="8">
        <f>H30/$D$30</f>
        <v>6608.5399189367517</v>
      </c>
      <c r="H30" s="8">
        <f>I30/$D$30</f>
        <v>6806.7961165048546</v>
      </c>
      <c r="I30" s="9">
        <v>7011</v>
      </c>
      <c r="J30" s="8">
        <f t="shared" ref="J30:Y30" si="3">I30*$D$30</f>
        <v>7221.33</v>
      </c>
      <c r="K30" s="8">
        <f t="shared" si="3"/>
        <v>7437.9699000000001</v>
      </c>
      <c r="L30" s="8">
        <f t="shared" si="3"/>
        <v>7661.1089970000003</v>
      </c>
      <c r="M30" s="8">
        <f t="shared" si="3"/>
        <v>7890.9422669100004</v>
      </c>
      <c r="N30" s="8">
        <f t="shared" si="3"/>
        <v>8127.6705349173008</v>
      </c>
      <c r="O30" s="8">
        <f t="shared" si="3"/>
        <v>8371.5006509648192</v>
      </c>
      <c r="P30" s="8">
        <f t="shared" si="3"/>
        <v>8622.6456704937646</v>
      </c>
      <c r="Q30" s="8">
        <f t="shared" si="3"/>
        <v>8881.3250406085772</v>
      </c>
      <c r="R30" s="50">
        <f t="shared" si="3"/>
        <v>9147.764791826834</v>
      </c>
      <c r="S30" s="80">
        <f t="shared" si="3"/>
        <v>9422.1977355816398</v>
      </c>
      <c r="T30" s="39">
        <f t="shared" si="3"/>
        <v>9704.8636676490896</v>
      </c>
      <c r="U30" s="39">
        <f t="shared" si="3"/>
        <v>9996.009577678562</v>
      </c>
      <c r="V30" s="39">
        <f t="shared" si="3"/>
        <v>10295.88986500892</v>
      </c>
      <c r="W30" s="39">
        <f t="shared" si="3"/>
        <v>10604.766560959188</v>
      </c>
      <c r="X30" s="39">
        <f t="shared" si="3"/>
        <v>10922.909557787963</v>
      </c>
      <c r="Y30" s="50">
        <f t="shared" si="3"/>
        <v>11250.596844521602</v>
      </c>
    </row>
    <row r="31" spans="2:34" x14ac:dyDescent="0.25">
      <c r="B31" s="161"/>
      <c r="C31" s="12" t="s">
        <v>34</v>
      </c>
      <c r="D31" s="147">
        <f>150.6/7011</f>
        <v>2.1480530594779629E-2</v>
      </c>
      <c r="E31" s="1" t="s">
        <v>35</v>
      </c>
      <c r="F31" s="8">
        <f t="shared" ref="F31:Y31" si="4">$D$31*F30</f>
        <v>137.8203338985858</v>
      </c>
      <c r="G31" s="8">
        <f t="shared" si="4"/>
        <v>141.9549439155434</v>
      </c>
      <c r="H31" s="8">
        <v>147.69999999999999</v>
      </c>
      <c r="I31" s="8">
        <f t="shared" si="4"/>
        <v>150.6</v>
      </c>
      <c r="J31" s="8">
        <f t="shared" si="4"/>
        <v>155.11799999999997</v>
      </c>
      <c r="K31" s="8">
        <f t="shared" si="4"/>
        <v>159.77153999999999</v>
      </c>
      <c r="L31" s="8">
        <f t="shared" si="4"/>
        <v>164.56468619999998</v>
      </c>
      <c r="M31" s="8">
        <f t="shared" si="4"/>
        <v>169.501626786</v>
      </c>
      <c r="N31" s="8">
        <f t="shared" si="4"/>
        <v>174.58667558957998</v>
      </c>
      <c r="O31" s="8">
        <f t="shared" si="4"/>
        <v>179.82427585726739</v>
      </c>
      <c r="P31" s="8">
        <f t="shared" si="4"/>
        <v>185.21900413298542</v>
      </c>
      <c r="Q31" s="8">
        <f t="shared" si="4"/>
        <v>190.77557425697498</v>
      </c>
      <c r="R31" s="50">
        <f t="shared" si="4"/>
        <v>196.49884148468422</v>
      </c>
      <c r="S31" s="80">
        <f t="shared" si="4"/>
        <v>202.39380672922476</v>
      </c>
      <c r="T31" s="39">
        <f t="shared" si="4"/>
        <v>208.46562093110151</v>
      </c>
      <c r="U31" s="39">
        <f t="shared" si="4"/>
        <v>214.71958955903455</v>
      </c>
      <c r="V31" s="39">
        <f t="shared" si="4"/>
        <v>221.16117724580562</v>
      </c>
      <c r="W31" s="39">
        <f t="shared" si="4"/>
        <v>227.79601256317977</v>
      </c>
      <c r="X31" s="39">
        <f t="shared" si="4"/>
        <v>234.62989294007519</v>
      </c>
      <c r="Y31" s="50">
        <f t="shared" si="4"/>
        <v>241.66878972827743</v>
      </c>
    </row>
    <row r="32" spans="2:34" x14ac:dyDescent="0.25">
      <c r="B32" s="161"/>
      <c r="C32" s="12" t="s">
        <v>36</v>
      </c>
      <c r="D32" s="3">
        <v>0.19</v>
      </c>
      <c r="E32" s="1" t="s">
        <v>37</v>
      </c>
      <c r="F32" s="8">
        <f t="shared" ref="F32:Y32" si="5">$D$32*F31</f>
        <v>26.185863440731303</v>
      </c>
      <c r="G32" s="8">
        <f t="shared" si="5"/>
        <v>26.971439343953246</v>
      </c>
      <c r="H32" s="8">
        <f t="shared" si="5"/>
        <v>28.062999999999999</v>
      </c>
      <c r="I32" s="8">
        <f t="shared" si="5"/>
        <v>28.614000000000001</v>
      </c>
      <c r="J32" s="8">
        <f t="shared" si="5"/>
        <v>29.472419999999993</v>
      </c>
      <c r="K32" s="8">
        <f t="shared" si="5"/>
        <v>30.356592599999999</v>
      </c>
      <c r="L32" s="8">
        <f t="shared" si="5"/>
        <v>31.267290377999998</v>
      </c>
      <c r="M32" s="8">
        <f t="shared" si="5"/>
        <v>32.205309089339998</v>
      </c>
      <c r="N32" s="8">
        <f t="shared" si="5"/>
        <v>33.1714683620202</v>
      </c>
      <c r="O32" s="8">
        <f t="shared" si="5"/>
        <v>34.166612412880802</v>
      </c>
      <c r="P32" s="8">
        <f t="shared" si="5"/>
        <v>35.19161078526723</v>
      </c>
      <c r="Q32" s="8">
        <f t="shared" si="5"/>
        <v>36.247359108825243</v>
      </c>
      <c r="R32" s="50">
        <f t="shared" si="5"/>
        <v>37.334779882090004</v>
      </c>
      <c r="S32" s="69">
        <f t="shared" si="5"/>
        <v>38.454823278552709</v>
      </c>
      <c r="T32" s="8">
        <f t="shared" si="5"/>
        <v>39.608467976909289</v>
      </c>
      <c r="U32" s="8">
        <f t="shared" si="5"/>
        <v>40.796722016216563</v>
      </c>
      <c r="V32" s="8">
        <f t="shared" si="5"/>
        <v>42.020623676703067</v>
      </c>
      <c r="W32" s="8">
        <f t="shared" si="5"/>
        <v>43.281242387004156</v>
      </c>
      <c r="X32" s="8">
        <f t="shared" si="5"/>
        <v>44.579679658614289</v>
      </c>
      <c r="Y32" s="50">
        <f t="shared" si="5"/>
        <v>45.917070048372715</v>
      </c>
    </row>
    <row r="33" spans="2:25" x14ac:dyDescent="0.25">
      <c r="B33" s="161"/>
      <c r="C33" s="85"/>
      <c r="D33" s="85"/>
      <c r="E33" s="85"/>
      <c r="F33" s="86"/>
      <c r="G33" s="86"/>
      <c r="H33" s="86"/>
      <c r="I33" s="87"/>
      <c r="J33" s="87"/>
      <c r="K33" s="87"/>
      <c r="L33" s="87"/>
      <c r="M33" s="87"/>
      <c r="N33" s="87"/>
      <c r="O33" s="87"/>
      <c r="P33" s="87"/>
      <c r="Q33" s="87"/>
      <c r="R33" s="88"/>
      <c r="S33" s="65"/>
      <c r="T33" s="44"/>
      <c r="U33" s="44"/>
      <c r="V33" s="44"/>
      <c r="W33" s="66"/>
      <c r="X33" s="66"/>
      <c r="Y33" s="67"/>
    </row>
    <row r="34" spans="2:25" x14ac:dyDescent="0.25">
      <c r="B34" s="161"/>
      <c r="C34" s="175" t="s">
        <v>38</v>
      </c>
      <c r="D34" s="176"/>
      <c r="E34" s="11" t="s">
        <v>39</v>
      </c>
      <c r="F34" s="8">
        <f t="shared" ref="F34:H34" si="6">F35/0.144</f>
        <v>2057.6388888888891</v>
      </c>
      <c r="G34" s="8">
        <f t="shared" si="6"/>
        <v>2133.3333333333335</v>
      </c>
      <c r="H34" s="8">
        <f t="shared" si="6"/>
        <v>2213.1944444444443</v>
      </c>
      <c r="I34" s="8">
        <f>I35/0.144</f>
        <v>2360.4166666666665</v>
      </c>
      <c r="J34" s="8">
        <f t="shared" ref="J34:Y34" si="7">J30*$D$29</f>
        <v>2431.2291666666665</v>
      </c>
      <c r="K34" s="8">
        <f t="shared" si="7"/>
        <v>2504.1660416666664</v>
      </c>
      <c r="L34" s="8">
        <f t="shared" si="7"/>
        <v>2579.2910229166664</v>
      </c>
      <c r="M34" s="8">
        <f t="shared" si="7"/>
        <v>2656.6697536041665</v>
      </c>
      <c r="N34" s="8">
        <f t="shared" si="7"/>
        <v>2736.3698462122916</v>
      </c>
      <c r="O34" s="8">
        <f t="shared" si="7"/>
        <v>2818.4609415986602</v>
      </c>
      <c r="P34" s="8">
        <f t="shared" si="7"/>
        <v>2903.0147698466203</v>
      </c>
      <c r="Q34" s="8">
        <f t="shared" si="7"/>
        <v>2990.1052129420191</v>
      </c>
      <c r="R34" s="50">
        <f t="shared" si="7"/>
        <v>3079.8083693302792</v>
      </c>
      <c r="S34" s="69">
        <f t="shared" si="7"/>
        <v>3172.202620410188</v>
      </c>
      <c r="T34" s="8">
        <f t="shared" si="7"/>
        <v>3267.3686990224937</v>
      </c>
      <c r="U34" s="8">
        <f t="shared" si="7"/>
        <v>3365.3897599931684</v>
      </c>
      <c r="V34" s="8">
        <f t="shared" si="7"/>
        <v>3466.3514527929638</v>
      </c>
      <c r="W34" s="8">
        <f t="shared" si="7"/>
        <v>3570.3419963767528</v>
      </c>
      <c r="X34" s="8">
        <f t="shared" si="7"/>
        <v>3677.4522562680554</v>
      </c>
      <c r="Y34" s="50">
        <f t="shared" si="7"/>
        <v>3787.7758239560972</v>
      </c>
    </row>
    <row r="35" spans="2:25" ht="30" x14ac:dyDescent="0.25">
      <c r="B35" s="161"/>
      <c r="C35" s="177"/>
      <c r="D35" s="178"/>
      <c r="E35" s="148" t="s">
        <v>40</v>
      </c>
      <c r="F35" s="8">
        <v>296.3</v>
      </c>
      <c r="G35" s="8">
        <v>307.2</v>
      </c>
      <c r="H35" s="8">
        <v>318.7</v>
      </c>
      <c r="I35" s="134">
        <v>339.9</v>
      </c>
      <c r="J35" s="10">
        <f>0.144*J34</f>
        <v>350.09699999999998</v>
      </c>
      <c r="K35" s="10">
        <f>0.144*K34</f>
        <v>360.59990999999991</v>
      </c>
      <c r="L35" s="10">
        <f t="shared" ref="L35:R35" si="8">0.144*L34</f>
        <v>371.41790729999991</v>
      </c>
      <c r="M35" s="10">
        <f t="shared" si="8"/>
        <v>382.56044451899993</v>
      </c>
      <c r="N35" s="10">
        <f t="shared" si="8"/>
        <v>394.03725785456993</v>
      </c>
      <c r="O35" s="10">
        <f t="shared" si="8"/>
        <v>405.858375590207</v>
      </c>
      <c r="P35" s="10">
        <f t="shared" si="8"/>
        <v>418.03412685791329</v>
      </c>
      <c r="Q35" s="10">
        <f t="shared" si="8"/>
        <v>430.57515066365073</v>
      </c>
      <c r="R35" s="56">
        <f t="shared" si="8"/>
        <v>443.49240518356015</v>
      </c>
      <c r="S35" s="72">
        <f t="shared" ref="S35:Y35" si="9">0.144*S34</f>
        <v>456.79717733906705</v>
      </c>
      <c r="T35" s="10">
        <f t="shared" si="9"/>
        <v>470.50109265923908</v>
      </c>
      <c r="U35" s="10">
        <f t="shared" si="9"/>
        <v>484.61612543901623</v>
      </c>
      <c r="V35" s="10">
        <f t="shared" si="9"/>
        <v>499.15460920218675</v>
      </c>
      <c r="W35" s="10">
        <f t="shared" si="9"/>
        <v>514.12924747825241</v>
      </c>
      <c r="X35" s="10">
        <f t="shared" si="9"/>
        <v>529.55312490259996</v>
      </c>
      <c r="Y35" s="56">
        <f t="shared" si="9"/>
        <v>545.43971864967796</v>
      </c>
    </row>
    <row r="36" spans="2:25" ht="45" x14ac:dyDescent="0.25">
      <c r="B36" s="161"/>
      <c r="C36" s="177"/>
      <c r="D36" s="178"/>
      <c r="E36" s="7" t="s">
        <v>41</v>
      </c>
      <c r="F36" s="8"/>
      <c r="G36" s="8">
        <f>G35-F35</f>
        <v>10.899999999999977</v>
      </c>
      <c r="H36" s="8">
        <f>H35-G35</f>
        <v>11.5</v>
      </c>
      <c r="I36" s="8">
        <f>I35-H35</f>
        <v>21.199999999999989</v>
      </c>
      <c r="J36" s="8">
        <f>J35-I35</f>
        <v>10.197000000000003</v>
      </c>
      <c r="K36" s="8">
        <f t="shared" ref="K36:R36" si="10">K35-J35</f>
        <v>10.502909999999929</v>
      </c>
      <c r="L36" s="8">
        <f t="shared" si="10"/>
        <v>10.817997300000002</v>
      </c>
      <c r="M36" s="8">
        <f t="shared" si="10"/>
        <v>11.142537219000019</v>
      </c>
      <c r="N36" s="8">
        <f t="shared" si="10"/>
        <v>11.47681333557</v>
      </c>
      <c r="O36" s="8">
        <f t="shared" si="10"/>
        <v>11.821117735637074</v>
      </c>
      <c r="P36" s="8">
        <f t="shared" si="10"/>
        <v>12.175751267706289</v>
      </c>
      <c r="Q36" s="8">
        <f t="shared" si="10"/>
        <v>12.541023805737439</v>
      </c>
      <c r="R36" s="50">
        <f t="shared" si="10"/>
        <v>12.91725451990942</v>
      </c>
      <c r="S36" s="69">
        <f t="shared" ref="S36" si="11">S35-R35</f>
        <v>13.304772155506896</v>
      </c>
      <c r="T36" s="8">
        <f t="shared" ref="T36" si="12">T35-S35</f>
        <v>13.70391532017203</v>
      </c>
      <c r="U36" s="8">
        <f t="shared" ref="U36" si="13">U35-T35</f>
        <v>14.115032779777152</v>
      </c>
      <c r="V36" s="8">
        <f t="shared" ref="V36" si="14">V35-U35</f>
        <v>14.538483763170518</v>
      </c>
      <c r="W36" s="8">
        <f t="shared" ref="W36" si="15">W35-V35</f>
        <v>14.974638276065662</v>
      </c>
      <c r="X36" s="8">
        <f t="shared" ref="X36" si="16">X35-W35</f>
        <v>15.423877424347552</v>
      </c>
      <c r="Y36" s="50">
        <f t="shared" ref="Y36" si="17">Y35-X35</f>
        <v>15.886593747077995</v>
      </c>
    </row>
    <row r="37" spans="2:25" ht="75" x14ac:dyDescent="0.25">
      <c r="B37" s="161"/>
      <c r="C37" s="177"/>
      <c r="D37" s="178"/>
      <c r="E37" s="14" t="s">
        <v>42</v>
      </c>
      <c r="F37" s="5"/>
      <c r="G37" s="5">
        <f t="shared" ref="G37:R37" si="18">G36/F32</f>
        <v>0.41625513035576911</v>
      </c>
      <c r="H37" s="5">
        <f>H36/G32</f>
        <v>0.42637694834696305</v>
      </c>
      <c r="I37" s="5">
        <f>I36/H32</f>
        <v>0.75544311014503041</v>
      </c>
      <c r="J37" s="5">
        <f>J36/I32</f>
        <v>0.35636401761375558</v>
      </c>
      <c r="K37" s="5">
        <f>K36/J32</f>
        <v>0.35636401761375319</v>
      </c>
      <c r="L37" s="5">
        <f t="shared" si="18"/>
        <v>0.35636401761375558</v>
      </c>
      <c r="M37" s="5">
        <f t="shared" si="18"/>
        <v>0.35636401761375613</v>
      </c>
      <c r="N37" s="5">
        <f t="shared" si="18"/>
        <v>0.35636401761375552</v>
      </c>
      <c r="O37" s="5">
        <f t="shared" si="18"/>
        <v>0.35636401761375475</v>
      </c>
      <c r="P37" s="5">
        <f t="shared" si="18"/>
        <v>0.3563640176137578</v>
      </c>
      <c r="Q37" s="5">
        <f t="shared" si="18"/>
        <v>0.35636401761375663</v>
      </c>
      <c r="R37" s="78">
        <f t="shared" si="18"/>
        <v>0.35636401761375275</v>
      </c>
      <c r="S37" s="77">
        <f t="shared" ref="S37" si="19">S36/R32</f>
        <v>0.35636401761375791</v>
      </c>
      <c r="T37" s="5">
        <f t="shared" ref="T37" si="20">T36/S32</f>
        <v>0.35636401761375597</v>
      </c>
      <c r="U37" s="5">
        <f t="shared" ref="U37" si="21">U36/T32</f>
        <v>0.35636401761375497</v>
      </c>
      <c r="V37" s="5">
        <f t="shared" ref="V37" si="22">V36/U32</f>
        <v>0.3563640176137563</v>
      </c>
      <c r="W37" s="5">
        <f t="shared" ref="W37" si="23">W36/V32</f>
        <v>0.35636401761375691</v>
      </c>
      <c r="X37" s="5">
        <f t="shared" ref="X37" si="24">X36/W32</f>
        <v>0.35636401761375508</v>
      </c>
      <c r="Y37" s="78">
        <f t="shared" ref="Y37" si="25">Y36/X32</f>
        <v>0.35636401761375541</v>
      </c>
    </row>
    <row r="38" spans="2:25" ht="60.75" thickBot="1" x14ac:dyDescent="0.3">
      <c r="B38" s="162"/>
      <c r="C38" s="179"/>
      <c r="D38" s="180"/>
      <c r="E38" s="89" t="s">
        <v>43</v>
      </c>
      <c r="F38" s="82">
        <f t="shared" ref="F38:R38" si="26">F32-G36</f>
        <v>15.285863440731326</v>
      </c>
      <c r="G38" s="82">
        <f>G32-H36</f>
        <v>15.471439343953246</v>
      </c>
      <c r="H38" s="82">
        <f>H32-I36</f>
        <v>6.8630000000000102</v>
      </c>
      <c r="I38" s="82">
        <f>I32-J36</f>
        <v>18.416999999999998</v>
      </c>
      <c r="J38" s="82">
        <f>J32-K36</f>
        <v>18.969510000000064</v>
      </c>
      <c r="K38" s="82">
        <f t="shared" si="26"/>
        <v>19.538595299999997</v>
      </c>
      <c r="L38" s="82">
        <f t="shared" si="26"/>
        <v>20.12475315899998</v>
      </c>
      <c r="M38" s="82">
        <f t="shared" si="26"/>
        <v>20.728495753769998</v>
      </c>
      <c r="N38" s="82">
        <f t="shared" si="26"/>
        <v>21.350350626383126</v>
      </c>
      <c r="O38" s="82">
        <f t="shared" si="26"/>
        <v>21.990861145174513</v>
      </c>
      <c r="P38" s="82">
        <f t="shared" si="26"/>
        <v>22.650586979529791</v>
      </c>
      <c r="Q38" s="82">
        <f t="shared" si="26"/>
        <v>23.330104588915823</v>
      </c>
      <c r="R38" s="83">
        <f t="shared" si="26"/>
        <v>24.030007726583108</v>
      </c>
      <c r="S38" s="81">
        <f t="shared" ref="S38" si="27">S32-T36</f>
        <v>24.750907958380679</v>
      </c>
      <c r="T38" s="82">
        <f t="shared" ref="T38" si="28">T32-U36</f>
        <v>25.493435197132136</v>
      </c>
      <c r="U38" s="82">
        <f t="shared" ref="U38" si="29">U32-V36</f>
        <v>26.258238253046045</v>
      </c>
      <c r="V38" s="82">
        <f t="shared" ref="V38" si="30">V32-W36</f>
        <v>27.045985400637406</v>
      </c>
      <c r="W38" s="82">
        <f t="shared" ref="W38" si="31">W32-X36</f>
        <v>27.857364962656604</v>
      </c>
      <c r="X38" s="82">
        <f t="shared" ref="X38" si="32">X32-Y36</f>
        <v>28.693085911536294</v>
      </c>
      <c r="Y38" s="83">
        <f t="shared" ref="Y38" si="33">Y32-Z36</f>
        <v>45.917070048372715</v>
      </c>
    </row>
    <row r="39" spans="2:25" x14ac:dyDescent="0.25">
      <c r="I39" s="129"/>
    </row>
    <row r="40" spans="2:25" ht="15.75" thickBot="1" x14ac:dyDescent="0.3"/>
    <row r="41" spans="2:25" ht="15" customHeight="1" x14ac:dyDescent="0.25">
      <c r="B41" s="166" t="s">
        <v>44</v>
      </c>
      <c r="C41" s="163"/>
      <c r="D41" s="164"/>
      <c r="E41" s="164"/>
      <c r="F41" s="164"/>
      <c r="G41" s="164"/>
      <c r="H41" s="164"/>
      <c r="I41" s="164"/>
      <c r="J41" s="169"/>
      <c r="K41" s="45"/>
      <c r="L41" s="45"/>
      <c r="M41" s="45"/>
      <c r="N41" s="45"/>
      <c r="O41" s="45"/>
      <c r="P41" s="45"/>
      <c r="Q41" s="45"/>
      <c r="R41" s="46"/>
      <c r="S41" s="61"/>
      <c r="T41" s="62"/>
      <c r="U41" s="62"/>
      <c r="V41" s="62"/>
      <c r="W41" s="63"/>
      <c r="X41" s="63"/>
      <c r="Y41" s="64"/>
    </row>
    <row r="42" spans="2:25" x14ac:dyDescent="0.25">
      <c r="B42" s="167"/>
      <c r="C42" s="170" t="s">
        <v>45</v>
      </c>
      <c r="D42" s="171"/>
      <c r="E42" s="1"/>
      <c r="F42" s="1">
        <v>2016</v>
      </c>
      <c r="G42" s="1">
        <v>2017</v>
      </c>
      <c r="H42" s="1">
        <v>2018</v>
      </c>
      <c r="I42" s="15">
        <v>2019</v>
      </c>
      <c r="J42" s="1">
        <v>2020</v>
      </c>
      <c r="K42" s="1">
        <v>2021</v>
      </c>
      <c r="L42" s="1">
        <v>2022</v>
      </c>
      <c r="M42" s="1">
        <v>2023</v>
      </c>
      <c r="N42" s="1">
        <v>2024</v>
      </c>
      <c r="O42" s="1">
        <v>2025</v>
      </c>
      <c r="P42" s="1">
        <v>2026</v>
      </c>
      <c r="Q42" s="1">
        <v>2027</v>
      </c>
      <c r="R42" s="49">
        <v>2028</v>
      </c>
      <c r="S42" s="68">
        <v>2029</v>
      </c>
      <c r="T42" s="1">
        <v>2030</v>
      </c>
      <c r="U42" s="1">
        <v>2031</v>
      </c>
      <c r="V42" s="1">
        <v>2032</v>
      </c>
      <c r="W42" s="1">
        <v>2033</v>
      </c>
      <c r="X42" s="1">
        <v>2034</v>
      </c>
      <c r="Y42" s="49">
        <v>2035</v>
      </c>
    </row>
    <row r="43" spans="2:25" ht="30" x14ac:dyDescent="0.25">
      <c r="B43" s="167"/>
      <c r="C43" s="171"/>
      <c r="D43" s="171"/>
      <c r="E43" s="11" t="s">
        <v>46</v>
      </c>
      <c r="F43" s="8">
        <f>G43/$D$30</f>
        <v>6405.9916154721168</v>
      </c>
      <c r="G43" s="8">
        <f>H43/$D$30</f>
        <v>6598.1713639362806</v>
      </c>
      <c r="H43" s="8">
        <f>I43/$D$30</f>
        <v>6796.1165048543689</v>
      </c>
      <c r="I43" s="16">
        <v>7000</v>
      </c>
      <c r="J43" s="8">
        <f t="shared" ref="J43:Y43" si="34">I43*$D$30</f>
        <v>7210</v>
      </c>
      <c r="K43" s="8">
        <f t="shared" si="34"/>
        <v>7426.3</v>
      </c>
      <c r="L43" s="8">
        <f t="shared" si="34"/>
        <v>7649.0889999999999</v>
      </c>
      <c r="M43" s="8">
        <f t="shared" si="34"/>
        <v>7878.56167</v>
      </c>
      <c r="N43" s="8">
        <f t="shared" si="34"/>
        <v>8114.9185201</v>
      </c>
      <c r="O43" s="8">
        <f t="shared" si="34"/>
        <v>8358.3660757030011</v>
      </c>
      <c r="P43" s="8">
        <f t="shared" si="34"/>
        <v>8609.1170579740919</v>
      </c>
      <c r="Q43" s="8">
        <f t="shared" si="34"/>
        <v>8867.3905697133141</v>
      </c>
      <c r="R43" s="50">
        <f t="shared" si="34"/>
        <v>9133.4122868047143</v>
      </c>
      <c r="S43" s="69">
        <f t="shared" si="34"/>
        <v>9407.4146554088566</v>
      </c>
      <c r="T43" s="8">
        <f t="shared" si="34"/>
        <v>9689.6370950711225</v>
      </c>
      <c r="U43" s="8">
        <f t="shared" si="34"/>
        <v>9980.3262079232572</v>
      </c>
      <c r="V43" s="8">
        <f t="shared" si="34"/>
        <v>10279.735994160956</v>
      </c>
      <c r="W43" s="8">
        <f t="shared" si="34"/>
        <v>10588.128073985785</v>
      </c>
      <c r="X43" s="8">
        <f t="shared" si="34"/>
        <v>10905.771916205358</v>
      </c>
      <c r="Y43" s="50">
        <f t="shared" si="34"/>
        <v>11232.945073691519</v>
      </c>
    </row>
    <row r="44" spans="2:25" x14ac:dyDescent="0.25">
      <c r="B44" s="167"/>
      <c r="C44" s="17"/>
      <c r="D44" s="17"/>
      <c r="E44" s="17"/>
      <c r="F44" s="18"/>
      <c r="G44" s="18"/>
      <c r="H44" s="18"/>
      <c r="I44" s="19"/>
      <c r="J44" s="19"/>
      <c r="K44" s="19"/>
      <c r="L44" s="20" t="s">
        <v>47</v>
      </c>
      <c r="M44" s="19"/>
      <c r="N44" s="19"/>
      <c r="O44" s="19"/>
      <c r="P44" s="19"/>
      <c r="Q44" s="19"/>
      <c r="R44" s="48"/>
      <c r="S44" s="65"/>
      <c r="T44" s="44"/>
      <c r="U44" s="44"/>
      <c r="V44" s="44"/>
      <c r="W44" s="66"/>
      <c r="X44" s="66"/>
      <c r="Y44" s="67"/>
    </row>
    <row r="45" spans="2:25" ht="15" customHeight="1" x14ac:dyDescent="0.25">
      <c r="B45" s="167"/>
      <c r="C45" s="158" t="s">
        <v>48</v>
      </c>
      <c r="D45" s="158" t="s">
        <v>49</v>
      </c>
      <c r="E45" s="130" t="s">
        <v>35</v>
      </c>
      <c r="F45" s="131">
        <f t="shared" ref="F45:Y45" si="35">$D$31*F43</f>
        <v>137.60409888605059</v>
      </c>
      <c r="G45" s="131">
        <f t="shared" si="35"/>
        <v>141.73222185263211</v>
      </c>
      <c r="H45" s="131">
        <f t="shared" si="35"/>
        <v>145.98418850821108</v>
      </c>
      <c r="I45" s="131">
        <f t="shared" si="35"/>
        <v>150.36371416345742</v>
      </c>
      <c r="J45" s="131">
        <f t="shared" si="35"/>
        <v>154.87462558836114</v>
      </c>
      <c r="K45" s="131">
        <f t="shared" si="35"/>
        <v>159.52086435601197</v>
      </c>
      <c r="L45" s="131">
        <f t="shared" si="35"/>
        <v>164.30649028669231</v>
      </c>
      <c r="M45" s="131">
        <f t="shared" si="35"/>
        <v>169.2356849952931</v>
      </c>
      <c r="N45" s="131">
        <f t="shared" si="35"/>
        <v>174.31275554515187</v>
      </c>
      <c r="O45" s="131">
        <f t="shared" si="35"/>
        <v>179.54213821150645</v>
      </c>
      <c r="P45" s="131">
        <f t="shared" si="35"/>
        <v>184.92840235785167</v>
      </c>
      <c r="Q45" s="131">
        <f t="shared" si="35"/>
        <v>190.47625442858723</v>
      </c>
      <c r="R45" s="131">
        <f t="shared" si="35"/>
        <v>196.19054206144486</v>
      </c>
      <c r="S45" s="131">
        <f t="shared" si="35"/>
        <v>202.07625832328822</v>
      </c>
      <c r="T45" s="131">
        <f t="shared" si="35"/>
        <v>208.13854607298686</v>
      </c>
      <c r="U45" s="131">
        <f t="shared" si="35"/>
        <v>214.38270245517649</v>
      </c>
      <c r="V45" s="131">
        <f t="shared" si="35"/>
        <v>220.81418352883179</v>
      </c>
      <c r="W45" s="131">
        <f t="shared" si="35"/>
        <v>227.43860903469675</v>
      </c>
      <c r="X45" s="131">
        <f t="shared" si="35"/>
        <v>234.26176730573766</v>
      </c>
      <c r="Y45" s="131">
        <f t="shared" si="35"/>
        <v>241.28962032490978</v>
      </c>
    </row>
    <row r="46" spans="2:25" ht="15" customHeight="1" x14ac:dyDescent="0.25">
      <c r="B46" s="167"/>
      <c r="C46" s="159"/>
      <c r="D46" s="159"/>
      <c r="E46" s="1" t="s">
        <v>37</v>
      </c>
      <c r="F46" s="8">
        <f t="shared" ref="F46:Y46" si="36">$D$32*F45</f>
        <v>26.144778788349612</v>
      </c>
      <c r="G46" s="8">
        <f t="shared" si="36"/>
        <v>26.929122152000101</v>
      </c>
      <c r="H46" s="8">
        <f t="shared" si="36"/>
        <v>27.736995816560103</v>
      </c>
      <c r="I46" s="8">
        <f t="shared" si="36"/>
        <v>28.569105691056908</v>
      </c>
      <c r="J46" s="8">
        <f t="shared" si="36"/>
        <v>29.426178861788618</v>
      </c>
      <c r="K46" s="8">
        <f t="shared" si="36"/>
        <v>30.308964227642274</v>
      </c>
      <c r="L46" s="8">
        <f t="shared" si="36"/>
        <v>31.218233154471537</v>
      </c>
      <c r="M46" s="8">
        <f t="shared" si="36"/>
        <v>32.15478014910569</v>
      </c>
      <c r="N46" s="8">
        <f t="shared" si="36"/>
        <v>33.119423553578855</v>
      </c>
      <c r="O46" s="8">
        <f t="shared" si="36"/>
        <v>34.113006260186225</v>
      </c>
      <c r="P46" s="8">
        <f t="shared" si="36"/>
        <v>35.136396447991814</v>
      </c>
      <c r="Q46" s="8">
        <f t="shared" si="36"/>
        <v>36.190488341431575</v>
      </c>
      <c r="R46" s="8">
        <f t="shared" si="36"/>
        <v>37.276202991674523</v>
      </c>
      <c r="S46" s="8">
        <f t="shared" si="36"/>
        <v>38.394489081424759</v>
      </c>
      <c r="T46" s="8">
        <f t="shared" si="36"/>
        <v>39.546323753867505</v>
      </c>
      <c r="U46" s="8">
        <f t="shared" si="36"/>
        <v>40.732713466483531</v>
      </c>
      <c r="V46" s="8">
        <f t="shared" si="36"/>
        <v>41.954694870478043</v>
      </c>
      <c r="W46" s="8">
        <f t="shared" si="36"/>
        <v>43.213335716592383</v>
      </c>
      <c r="X46" s="8">
        <f t="shared" si="36"/>
        <v>44.509735788090154</v>
      </c>
      <c r="Y46" s="8">
        <f t="shared" si="36"/>
        <v>45.845027861732859</v>
      </c>
    </row>
    <row r="47" spans="2:25" ht="15" customHeight="1" x14ac:dyDescent="0.25">
      <c r="B47" s="167"/>
      <c r="C47" s="159"/>
      <c r="D47" s="159"/>
      <c r="E47" s="1" t="s">
        <v>39</v>
      </c>
      <c r="F47" s="8">
        <f>$D$29*F43</f>
        <v>2156.7264834812877</v>
      </c>
      <c r="G47" s="8">
        <f>$D$29*G43</f>
        <v>2221.4282779857263</v>
      </c>
      <c r="H47" s="8">
        <f>$D$29*H43</f>
        <v>2288.0711263252983</v>
      </c>
      <c r="I47" s="8">
        <f>I48/0.144</f>
        <v>2360.4166666666665</v>
      </c>
      <c r="J47" s="8">
        <f>J43*$D$29</f>
        <v>2427.414657918509</v>
      </c>
      <c r="K47" s="8">
        <f>K43*$D$29</f>
        <v>2500.2370976560642</v>
      </c>
      <c r="L47" s="8">
        <f t="shared" ref="L47:Y47" si="37">$D$29*L43*(1-W$5)</f>
        <v>2573.6990640593949</v>
      </c>
      <c r="M47" s="8">
        <f t="shared" si="37"/>
        <v>2649.1022145453453</v>
      </c>
      <c r="N47" s="8">
        <f t="shared" si="37"/>
        <v>2726.4522496544987</v>
      </c>
      <c r="O47" s="8">
        <f t="shared" si="37"/>
        <v>2805.7445339472765</v>
      </c>
      <c r="P47" s="8">
        <f t="shared" si="37"/>
        <v>2887.5495120081073</v>
      </c>
      <c r="Q47" s="8">
        <f t="shared" si="37"/>
        <v>2971.3638873905502</v>
      </c>
      <c r="R47" s="50">
        <f t="shared" si="37"/>
        <v>3057.3919304046194</v>
      </c>
      <c r="S47" s="69">
        <f t="shared" si="37"/>
        <v>3145.8613496755875</v>
      </c>
      <c r="T47" s="8">
        <f t="shared" si="37"/>
        <v>3236.8497899640952</v>
      </c>
      <c r="U47" s="8">
        <f t="shared" si="37"/>
        <v>3331.0543558054105</v>
      </c>
      <c r="V47" s="8">
        <f t="shared" si="37"/>
        <v>3428.0764934833728</v>
      </c>
      <c r="W47" s="8">
        <f t="shared" si="37"/>
        <v>3527.7246198208568</v>
      </c>
      <c r="X47" s="8">
        <f t="shared" si="37"/>
        <v>3630.4928598623433</v>
      </c>
      <c r="Y47" s="50">
        <f t="shared" si="37"/>
        <v>3736.1811022391421</v>
      </c>
    </row>
    <row r="48" spans="2:25" ht="13.5" customHeight="1" x14ac:dyDescent="0.25">
      <c r="B48" s="167"/>
      <c r="C48" s="159"/>
      <c r="D48" s="159"/>
      <c r="E48" s="1" t="s">
        <v>50</v>
      </c>
      <c r="F48" s="8">
        <v>296.3</v>
      </c>
      <c r="G48" s="8">
        <v>307.2</v>
      </c>
      <c r="H48" s="8">
        <v>318.7</v>
      </c>
      <c r="I48" s="8">
        <v>339.9</v>
      </c>
      <c r="J48" s="10">
        <f t="shared" ref="J48:Y48" si="38">0.144*J47</f>
        <v>349.54771074026525</v>
      </c>
      <c r="K48" s="10">
        <f t="shared" si="38"/>
        <v>360.03414206247322</v>
      </c>
      <c r="L48" s="10">
        <f t="shared" si="38"/>
        <v>370.61266522455281</v>
      </c>
      <c r="M48" s="10">
        <f t="shared" si="38"/>
        <v>381.47071889452968</v>
      </c>
      <c r="N48" s="10">
        <f t="shared" si="38"/>
        <v>392.60912395024781</v>
      </c>
      <c r="O48" s="10">
        <f t="shared" si="38"/>
        <v>404.0272128884078</v>
      </c>
      <c r="P48" s="10">
        <f t="shared" si="38"/>
        <v>415.8071297291674</v>
      </c>
      <c r="Q48" s="10">
        <f t="shared" si="38"/>
        <v>427.8763997842392</v>
      </c>
      <c r="R48" s="56">
        <f t="shared" si="38"/>
        <v>440.26443797826516</v>
      </c>
      <c r="S48" s="72">
        <f t="shared" si="38"/>
        <v>453.00403435328457</v>
      </c>
      <c r="T48" s="10">
        <f t="shared" si="38"/>
        <v>466.10636975482964</v>
      </c>
      <c r="U48" s="10">
        <f t="shared" si="38"/>
        <v>479.67182723597909</v>
      </c>
      <c r="V48" s="10">
        <f t="shared" si="38"/>
        <v>493.64301506160564</v>
      </c>
      <c r="W48" s="10">
        <f t="shared" si="38"/>
        <v>507.99234525420331</v>
      </c>
      <c r="X48" s="10">
        <f t="shared" si="38"/>
        <v>522.79097182017745</v>
      </c>
      <c r="Y48" s="56">
        <f t="shared" si="38"/>
        <v>538.01007872243645</v>
      </c>
    </row>
    <row r="49" spans="2:25" ht="45" x14ac:dyDescent="0.25">
      <c r="B49" s="167"/>
      <c r="C49" s="159"/>
      <c r="D49" s="159"/>
      <c r="E49" s="7" t="s">
        <v>51</v>
      </c>
      <c r="F49" s="8"/>
      <c r="G49" s="8">
        <f t="shared" ref="G49:Q49" si="39">G48-F48</f>
        <v>10.899999999999977</v>
      </c>
      <c r="H49" s="8">
        <f>H48-G48</f>
        <v>11.5</v>
      </c>
      <c r="I49" s="8">
        <f>I48-H48</f>
        <v>21.199999999999989</v>
      </c>
      <c r="J49" s="8">
        <f t="shared" si="39"/>
        <v>9.6477107402652678</v>
      </c>
      <c r="K49" s="8">
        <f t="shared" si="39"/>
        <v>10.486431322207977</v>
      </c>
      <c r="L49" s="8">
        <f t="shared" si="39"/>
        <v>10.578523162079591</v>
      </c>
      <c r="M49" s="8">
        <f t="shared" si="39"/>
        <v>10.858053669976869</v>
      </c>
      <c r="N49" s="8">
        <f t="shared" si="39"/>
        <v>11.138405055718124</v>
      </c>
      <c r="O49" s="8">
        <f t="shared" si="39"/>
        <v>11.418088938159997</v>
      </c>
      <c r="P49" s="8">
        <f t="shared" si="39"/>
        <v>11.779916840759597</v>
      </c>
      <c r="Q49" s="8">
        <f t="shared" si="39"/>
        <v>12.069270055071797</v>
      </c>
      <c r="R49" s="50">
        <f t="shared" ref="R49" si="40">R48-Q48</f>
        <v>12.388038194025967</v>
      </c>
      <c r="S49" s="69">
        <f t="shared" ref="S49" si="41">S48-R48</f>
        <v>12.739596375019403</v>
      </c>
      <c r="T49" s="8">
        <f t="shared" ref="T49" si="42">T48-S48</f>
        <v>13.102335401545076</v>
      </c>
      <c r="U49" s="8">
        <f t="shared" ref="U49" si="43">U48-T48</f>
        <v>13.565457481149451</v>
      </c>
      <c r="V49" s="8">
        <f t="shared" ref="V49" si="44">V48-U48</f>
        <v>13.971187825626544</v>
      </c>
      <c r="W49" s="8">
        <f t="shared" ref="W49" si="45">W48-V48</f>
        <v>14.349330192597677</v>
      </c>
      <c r="X49" s="8">
        <f t="shared" ref="X49" si="46">X48-W48</f>
        <v>14.798626565974132</v>
      </c>
      <c r="Y49" s="50">
        <f t="shared" ref="Y49" si="47">Y48-X48</f>
        <v>15.219106902259</v>
      </c>
    </row>
    <row r="50" spans="2:25" ht="75" customHeight="1" x14ac:dyDescent="0.25">
      <c r="B50" s="167"/>
      <c r="C50" s="159"/>
      <c r="D50" s="159"/>
      <c r="E50" s="14" t="s">
        <v>42</v>
      </c>
      <c r="F50" s="5"/>
      <c r="G50" s="5">
        <f>G49/G46</f>
        <v>0.40476625782583869</v>
      </c>
      <c r="H50" s="5">
        <f t="shared" ref="H50:X50" si="48">H49/H46</f>
        <v>0.41460870802504274</v>
      </c>
      <c r="I50" s="5">
        <f t="shared" si="48"/>
        <v>0.74206033010813854</v>
      </c>
      <c r="J50" s="5">
        <f t="shared" si="48"/>
        <v>0.32786148638528489</v>
      </c>
      <c r="K50" s="5">
        <f t="shared" si="48"/>
        <v>0.34598448312015162</v>
      </c>
      <c r="L50" s="5">
        <f t="shared" si="48"/>
        <v>0.33885720276787601</v>
      </c>
      <c r="M50" s="5">
        <f t="shared" si="48"/>
        <v>0.33768085552526661</v>
      </c>
      <c r="N50" s="5">
        <f t="shared" si="48"/>
        <v>0.33631035388339414</v>
      </c>
      <c r="O50" s="5">
        <f t="shared" si="48"/>
        <v>0.33471365294140643</v>
      </c>
      <c r="P50" s="5">
        <f t="shared" si="48"/>
        <v>0.33526252067983103</v>
      </c>
      <c r="Q50" s="5">
        <f t="shared" si="48"/>
        <v>0.33349287639356506</v>
      </c>
      <c r="R50" s="5">
        <f t="shared" si="48"/>
        <v>0.33233101012978122</v>
      </c>
      <c r="S50" s="5">
        <f t="shared" si="48"/>
        <v>0.331807941186612</v>
      </c>
      <c r="T50" s="5">
        <f t="shared" si="48"/>
        <v>0.33131614162400391</v>
      </c>
      <c r="U50" s="5">
        <f t="shared" si="48"/>
        <v>0.33303593909381068</v>
      </c>
      <c r="V50" s="5">
        <f t="shared" si="48"/>
        <v>0.3330065411930227</v>
      </c>
      <c r="W50" s="5">
        <f t="shared" si="48"/>
        <v>0.33205791579491617</v>
      </c>
      <c r="X50" s="5">
        <f t="shared" si="48"/>
        <v>0.33248066527354958</v>
      </c>
      <c r="Y50" s="5"/>
    </row>
    <row r="51" spans="2:25" ht="60" x14ac:dyDescent="0.25">
      <c r="B51" s="167"/>
      <c r="C51" s="159"/>
      <c r="D51" s="172"/>
      <c r="E51" s="21" t="s">
        <v>43</v>
      </c>
      <c r="F51" s="16"/>
      <c r="G51" s="16">
        <f>G46-H49</f>
        <v>15.429122152000101</v>
      </c>
      <c r="H51" s="16">
        <f t="shared" ref="H51:X51" si="49">H46-I49</f>
        <v>6.5369958165601147</v>
      </c>
      <c r="I51" s="16">
        <f t="shared" si="49"/>
        <v>18.92139495079164</v>
      </c>
      <c r="J51" s="16">
        <f t="shared" si="49"/>
        <v>18.93974753958064</v>
      </c>
      <c r="K51" s="16">
        <f t="shared" si="49"/>
        <v>19.730441065562683</v>
      </c>
      <c r="L51" s="16">
        <f t="shared" si="49"/>
        <v>20.360179484494669</v>
      </c>
      <c r="M51" s="16">
        <f t="shared" si="49"/>
        <v>21.016375093387566</v>
      </c>
      <c r="N51" s="16">
        <f t="shared" si="49"/>
        <v>21.701334615418858</v>
      </c>
      <c r="O51" s="16">
        <f t="shared" si="49"/>
        <v>22.333089419426628</v>
      </c>
      <c r="P51" s="16">
        <f t="shared" si="49"/>
        <v>23.067126392920017</v>
      </c>
      <c r="Q51" s="16">
        <f t="shared" si="49"/>
        <v>23.802450147405608</v>
      </c>
      <c r="R51" s="16">
        <f t="shared" si="49"/>
        <v>24.536606616655121</v>
      </c>
      <c r="S51" s="16">
        <f t="shared" si="49"/>
        <v>25.292153679879682</v>
      </c>
      <c r="T51" s="16">
        <f t="shared" si="49"/>
        <v>25.980866272718053</v>
      </c>
      <c r="U51" s="16">
        <f t="shared" si="49"/>
        <v>26.761525640856988</v>
      </c>
      <c r="V51" s="16">
        <f t="shared" si="49"/>
        <v>27.605364677880367</v>
      </c>
      <c r="W51" s="16">
        <f t="shared" si="49"/>
        <v>28.414709150618251</v>
      </c>
      <c r="X51" s="16">
        <f t="shared" si="49"/>
        <v>29.290628885831154</v>
      </c>
      <c r="Y51" s="16"/>
    </row>
    <row r="52" spans="2:25" ht="30" x14ac:dyDescent="0.25">
      <c r="B52" s="167"/>
      <c r="C52" s="159"/>
      <c r="D52" s="23">
        <f>SUM(L52:Q52)</f>
        <v>-0.31732222956777534</v>
      </c>
      <c r="E52" s="22" t="s">
        <v>52</v>
      </c>
      <c r="F52" s="16"/>
      <c r="G52" s="16">
        <f>G46-G$32</f>
        <v>-4.2317191953145539E-2</v>
      </c>
      <c r="H52" s="16">
        <f t="shared" ref="H52:X52" si="50">H46-H$32</f>
        <v>-0.32600418343989546</v>
      </c>
      <c r="I52" s="16">
        <f t="shared" si="50"/>
        <v>-4.4894308943092653E-2</v>
      </c>
      <c r="J52" s="16">
        <f t="shared" si="50"/>
        <v>-4.6241138211374988E-2</v>
      </c>
      <c r="K52" s="16">
        <f t="shared" si="50"/>
        <v>-4.7628372357724658E-2</v>
      </c>
      <c r="L52" s="16">
        <f t="shared" si="50"/>
        <v>-4.905722352846098E-2</v>
      </c>
      <c r="M52" s="16">
        <f t="shared" si="50"/>
        <v>-5.0528940234308095E-2</v>
      </c>
      <c r="N52" s="16">
        <f t="shared" si="50"/>
        <v>-5.2044808441344514E-2</v>
      </c>
      <c r="O52" s="16">
        <f t="shared" si="50"/>
        <v>-5.3606152694577247E-2</v>
      </c>
      <c r="P52" s="16">
        <f t="shared" si="50"/>
        <v>-5.5214337275415915E-2</v>
      </c>
      <c r="Q52" s="16">
        <f t="shared" si="50"/>
        <v>-5.6870767393668586E-2</v>
      </c>
      <c r="R52" s="16">
        <f t="shared" si="50"/>
        <v>-5.857689041548042E-2</v>
      </c>
      <c r="S52" s="16">
        <f t="shared" si="50"/>
        <v>-6.0334197127950517E-2</v>
      </c>
      <c r="T52" s="16">
        <f t="shared" si="50"/>
        <v>-6.214422304178413E-2</v>
      </c>
      <c r="U52" s="16">
        <f t="shared" si="50"/>
        <v>-6.4008549733031828E-2</v>
      </c>
      <c r="V52" s="16">
        <f t="shared" si="50"/>
        <v>-6.5928806225024061E-2</v>
      </c>
      <c r="W52" s="16">
        <f t="shared" si="50"/>
        <v>-6.7906670411773007E-2</v>
      </c>
      <c r="X52" s="16">
        <f t="shared" si="50"/>
        <v>-6.9943870524134866E-2</v>
      </c>
      <c r="Y52" s="79"/>
    </row>
    <row r="53" spans="2:25" ht="75" x14ac:dyDescent="0.25">
      <c r="B53" s="167"/>
      <c r="C53" s="159"/>
      <c r="D53" s="23">
        <f>SUM(K53:P53)</f>
        <v>2.1329829418848476</v>
      </c>
      <c r="E53" s="22" t="s">
        <v>53</v>
      </c>
      <c r="F53" s="10">
        <f>G$36-G49</f>
        <v>0</v>
      </c>
      <c r="G53" s="10">
        <f>H$36-H49</f>
        <v>0</v>
      </c>
      <c r="H53" s="10">
        <f t="shared" ref="H53:X53" si="51">I$36-I49</f>
        <v>0</v>
      </c>
      <c r="I53" s="10">
        <f t="shared" si="51"/>
        <v>0.54928925973473497</v>
      </c>
      <c r="J53" s="10">
        <f t="shared" si="51"/>
        <v>1.6478677791951668E-2</v>
      </c>
      <c r="K53" s="10">
        <f t="shared" si="51"/>
        <v>0.23947413792041061</v>
      </c>
      <c r="L53" s="10">
        <f t="shared" si="51"/>
        <v>0.28448354902315032</v>
      </c>
      <c r="M53" s="10">
        <f t="shared" si="51"/>
        <v>0.33840827985187616</v>
      </c>
      <c r="N53" s="10">
        <f t="shared" si="51"/>
        <v>0.40302879747707721</v>
      </c>
      <c r="O53" s="10">
        <f t="shared" si="51"/>
        <v>0.39583442694669202</v>
      </c>
      <c r="P53" s="10">
        <f t="shared" si="51"/>
        <v>0.47175375066564129</v>
      </c>
      <c r="Q53" s="10">
        <f t="shared" si="51"/>
        <v>0.52921632588345346</v>
      </c>
      <c r="R53" s="10">
        <f t="shared" si="51"/>
        <v>0.56517578048749328</v>
      </c>
      <c r="S53" s="10">
        <f t="shared" si="51"/>
        <v>0.60157991862695326</v>
      </c>
      <c r="T53" s="10">
        <f t="shared" si="51"/>
        <v>0.54957529862770116</v>
      </c>
      <c r="U53" s="10">
        <f t="shared" si="51"/>
        <v>0.56729593754397456</v>
      </c>
      <c r="V53" s="10">
        <f t="shared" si="51"/>
        <v>0.62530808346798494</v>
      </c>
      <c r="W53" s="10">
        <f t="shared" si="51"/>
        <v>0.62525085837341976</v>
      </c>
      <c r="X53" s="10">
        <f t="shared" si="51"/>
        <v>0.66748684481899545</v>
      </c>
      <c r="Y53" s="56"/>
    </row>
    <row r="54" spans="2:25" x14ac:dyDescent="0.25">
      <c r="B54" s="167"/>
      <c r="C54" s="17"/>
      <c r="D54" s="17"/>
      <c r="E54" s="17"/>
      <c r="F54" s="17"/>
      <c r="G54" s="17"/>
      <c r="H54" s="17"/>
      <c r="I54" s="17"/>
      <c r="J54" s="17"/>
      <c r="K54" s="17"/>
      <c r="L54" s="17"/>
      <c r="M54" s="17"/>
      <c r="N54" s="17"/>
      <c r="O54" s="17"/>
      <c r="P54" s="17"/>
      <c r="Q54" s="17"/>
      <c r="R54" s="57"/>
      <c r="S54" s="65"/>
      <c r="T54" s="44"/>
      <c r="U54" s="44"/>
      <c r="V54" s="44"/>
      <c r="W54" s="66"/>
      <c r="X54" s="66"/>
      <c r="Y54" s="67"/>
    </row>
    <row r="55" spans="2:25" ht="15" customHeight="1" x14ac:dyDescent="0.25">
      <c r="B55" s="167"/>
      <c r="C55" s="173" t="s">
        <v>54</v>
      </c>
      <c r="D55" s="158" t="s">
        <v>55</v>
      </c>
      <c r="E55" s="130" t="s">
        <v>35</v>
      </c>
      <c r="F55" s="131">
        <f>$D$31*F$43</f>
        <v>137.60409888605059</v>
      </c>
      <c r="G55" s="131">
        <f t="shared" ref="G55:Y55" si="52">$D$31*G$43</f>
        <v>141.73222185263211</v>
      </c>
      <c r="H55" s="131">
        <f t="shared" si="52"/>
        <v>145.98418850821108</v>
      </c>
      <c r="I55" s="131">
        <f t="shared" si="52"/>
        <v>150.36371416345742</v>
      </c>
      <c r="J55" s="131">
        <f t="shared" si="52"/>
        <v>154.87462558836114</v>
      </c>
      <c r="K55" s="131">
        <f t="shared" si="52"/>
        <v>159.52086435601197</v>
      </c>
      <c r="L55" s="131">
        <f t="shared" si="52"/>
        <v>164.30649028669231</v>
      </c>
      <c r="M55" s="131">
        <f t="shared" si="52"/>
        <v>169.2356849952931</v>
      </c>
      <c r="N55" s="131">
        <f t="shared" si="52"/>
        <v>174.31275554515187</v>
      </c>
      <c r="O55" s="131">
        <f t="shared" si="52"/>
        <v>179.54213821150645</v>
      </c>
      <c r="P55" s="131">
        <f t="shared" si="52"/>
        <v>184.92840235785167</v>
      </c>
      <c r="Q55" s="131">
        <f t="shared" si="52"/>
        <v>190.47625442858723</v>
      </c>
      <c r="R55" s="131">
        <f t="shared" si="52"/>
        <v>196.19054206144486</v>
      </c>
      <c r="S55" s="131">
        <f t="shared" si="52"/>
        <v>202.07625832328822</v>
      </c>
      <c r="T55" s="131">
        <f t="shared" si="52"/>
        <v>208.13854607298686</v>
      </c>
      <c r="U55" s="131">
        <f t="shared" si="52"/>
        <v>214.38270245517649</v>
      </c>
      <c r="V55" s="131">
        <f t="shared" si="52"/>
        <v>220.81418352883179</v>
      </c>
      <c r="W55" s="131">
        <f t="shared" si="52"/>
        <v>227.43860903469675</v>
      </c>
      <c r="X55" s="131">
        <f t="shared" si="52"/>
        <v>234.26176730573766</v>
      </c>
      <c r="Y55" s="131">
        <f t="shared" si="52"/>
        <v>241.28962032490978</v>
      </c>
    </row>
    <row r="56" spans="2:25" ht="15" customHeight="1" x14ac:dyDescent="0.25">
      <c r="B56" s="167"/>
      <c r="C56" s="174"/>
      <c r="D56" s="159"/>
      <c r="E56" s="1" t="s">
        <v>37</v>
      </c>
      <c r="F56" s="8">
        <f t="shared" ref="F56:Y56" si="53">$D$32*F55</f>
        <v>26.144778788349612</v>
      </c>
      <c r="G56" s="8">
        <f t="shared" si="53"/>
        <v>26.929122152000101</v>
      </c>
      <c r="H56" s="8">
        <f t="shared" si="53"/>
        <v>27.736995816560103</v>
      </c>
      <c r="I56" s="8">
        <f t="shared" si="53"/>
        <v>28.569105691056908</v>
      </c>
      <c r="J56" s="8">
        <f t="shared" si="53"/>
        <v>29.426178861788618</v>
      </c>
      <c r="K56" s="8">
        <f t="shared" si="53"/>
        <v>30.308964227642274</v>
      </c>
      <c r="L56" s="8">
        <f t="shared" si="53"/>
        <v>31.218233154471537</v>
      </c>
      <c r="M56" s="8">
        <f t="shared" si="53"/>
        <v>32.15478014910569</v>
      </c>
      <c r="N56" s="8">
        <f t="shared" si="53"/>
        <v>33.119423553578855</v>
      </c>
      <c r="O56" s="8">
        <f t="shared" si="53"/>
        <v>34.113006260186225</v>
      </c>
      <c r="P56" s="8">
        <f t="shared" si="53"/>
        <v>35.136396447991814</v>
      </c>
      <c r="Q56" s="8">
        <f t="shared" si="53"/>
        <v>36.190488341431575</v>
      </c>
      <c r="R56" s="8">
        <f t="shared" si="53"/>
        <v>37.276202991674523</v>
      </c>
      <c r="S56" s="8">
        <f t="shared" si="53"/>
        <v>38.394489081424759</v>
      </c>
      <c r="T56" s="8">
        <f t="shared" si="53"/>
        <v>39.546323753867505</v>
      </c>
      <c r="U56" s="8">
        <f t="shared" si="53"/>
        <v>40.732713466483531</v>
      </c>
      <c r="V56" s="8">
        <f t="shared" si="53"/>
        <v>41.954694870478043</v>
      </c>
      <c r="W56" s="8">
        <f t="shared" si="53"/>
        <v>43.213335716592383</v>
      </c>
      <c r="X56" s="8">
        <f t="shared" si="53"/>
        <v>44.509735788090154</v>
      </c>
      <c r="Y56" s="8">
        <f t="shared" si="53"/>
        <v>45.845027861732859</v>
      </c>
    </row>
    <row r="57" spans="2:25" ht="15" customHeight="1" x14ac:dyDescent="0.25">
      <c r="B57" s="167"/>
      <c r="C57" s="174"/>
      <c r="D57" s="159"/>
      <c r="E57" s="1" t="s">
        <v>39</v>
      </c>
      <c r="F57" s="8">
        <f>$D$29*F43</f>
        <v>2156.7264834812877</v>
      </c>
      <c r="G57" s="8">
        <f>$D$29*G43</f>
        <v>2221.4282779857263</v>
      </c>
      <c r="H57" s="8">
        <f>$D$29*H43</f>
        <v>2288.0711263252983</v>
      </c>
      <c r="I57" s="8">
        <f>I58/0.144</f>
        <v>2360.4166666666665</v>
      </c>
      <c r="J57" s="8">
        <f>J43*$D$29</f>
        <v>2427.414657918509</v>
      </c>
      <c r="K57" s="8">
        <f>K43*$D$29</f>
        <v>2500.2370976560642</v>
      </c>
      <c r="L57" s="8">
        <f t="shared" ref="L57:Y57" si="54">L43*$D$29*(1-W8)</f>
        <v>2573.6990640593949</v>
      </c>
      <c r="M57" s="8">
        <f t="shared" si="54"/>
        <v>2649.2567291979808</v>
      </c>
      <c r="N57" s="8">
        <f t="shared" si="54"/>
        <v>2726.9621480081946</v>
      </c>
      <c r="O57" s="8">
        <f t="shared" si="54"/>
        <v>2806.8678554719336</v>
      </c>
      <c r="P57" s="8">
        <f t="shared" si="54"/>
        <v>2889.6146003405761</v>
      </c>
      <c r="Q57" s="8">
        <f t="shared" si="54"/>
        <v>2974.7265380470303</v>
      </c>
      <c r="R57" s="50">
        <f t="shared" si="54"/>
        <v>3062.4586367181305</v>
      </c>
      <c r="S57" s="69">
        <f t="shared" si="54"/>
        <v>3152.6945761748616</v>
      </c>
      <c r="T57" s="8">
        <f t="shared" si="54"/>
        <v>3245.4966594233429</v>
      </c>
      <c r="U57" s="8">
        <f t="shared" si="54"/>
        <v>3341.5407974273903</v>
      </c>
      <c r="V57" s="8">
        <f t="shared" si="54"/>
        <v>3440.3386403635454</v>
      </c>
      <c r="W57" s="8">
        <f t="shared" si="54"/>
        <v>3541.8814232677105</v>
      </c>
      <c r="X57" s="8">
        <f t="shared" si="54"/>
        <v>3646.6548663781573</v>
      </c>
      <c r="Y57" s="50">
        <f t="shared" si="54"/>
        <v>3754.4196992501211</v>
      </c>
    </row>
    <row r="58" spans="2:25" ht="15" customHeight="1" x14ac:dyDescent="0.25">
      <c r="B58" s="167"/>
      <c r="C58" s="159"/>
      <c r="D58" s="159"/>
      <c r="E58" s="1" t="s">
        <v>56</v>
      </c>
      <c r="F58" s="8">
        <v>296.3</v>
      </c>
      <c r="G58" s="8">
        <v>307.2</v>
      </c>
      <c r="H58" s="8">
        <v>318.7</v>
      </c>
      <c r="I58" s="8">
        <v>339.9</v>
      </c>
      <c r="J58" s="10">
        <f t="shared" ref="J58:Y58" si="55">0.144*J57</f>
        <v>349.54771074026525</v>
      </c>
      <c r="K58" s="10">
        <f t="shared" si="55"/>
        <v>360.03414206247322</v>
      </c>
      <c r="L58" s="10">
        <f t="shared" si="55"/>
        <v>370.61266522455281</v>
      </c>
      <c r="M58" s="10">
        <f t="shared" si="55"/>
        <v>381.49296900450923</v>
      </c>
      <c r="N58" s="10">
        <f t="shared" si="55"/>
        <v>392.68254931318</v>
      </c>
      <c r="O58" s="10">
        <f t="shared" si="55"/>
        <v>404.18897118795843</v>
      </c>
      <c r="P58" s="10">
        <f t="shared" si="55"/>
        <v>416.10450244904291</v>
      </c>
      <c r="Q58" s="10">
        <f t="shared" si="55"/>
        <v>428.36062147877232</v>
      </c>
      <c r="R58" s="56">
        <f t="shared" si="55"/>
        <v>440.99404368741074</v>
      </c>
      <c r="S58" s="72">
        <f t="shared" si="55"/>
        <v>453.98801896918002</v>
      </c>
      <c r="T58" s="10">
        <f t="shared" si="55"/>
        <v>467.35151895696134</v>
      </c>
      <c r="U58" s="10">
        <f t="shared" si="55"/>
        <v>481.18187482954414</v>
      </c>
      <c r="V58" s="10">
        <f t="shared" si="55"/>
        <v>495.40876421235049</v>
      </c>
      <c r="W58" s="10">
        <f t="shared" si="55"/>
        <v>510.03092495055029</v>
      </c>
      <c r="X58" s="10">
        <f t="shared" si="55"/>
        <v>525.11830075845467</v>
      </c>
      <c r="Y58" s="56">
        <f t="shared" si="55"/>
        <v>540.63643669201736</v>
      </c>
    </row>
    <row r="59" spans="2:25" ht="45" x14ac:dyDescent="0.25">
      <c r="B59" s="167"/>
      <c r="C59" s="159"/>
      <c r="D59" s="159"/>
      <c r="E59" s="7" t="s">
        <v>51</v>
      </c>
      <c r="F59" s="8"/>
      <c r="G59" s="8">
        <f t="shared" ref="G59" si="56">G58-F58</f>
        <v>10.899999999999977</v>
      </c>
      <c r="H59" s="8">
        <f>H58-G58</f>
        <v>11.5</v>
      </c>
      <c r="I59" s="8">
        <f>I58-H58</f>
        <v>21.199999999999989</v>
      </c>
      <c r="J59" s="8">
        <f t="shared" ref="J59" si="57">J58-I58</f>
        <v>9.6477107402652678</v>
      </c>
      <c r="K59" s="8">
        <f t="shared" ref="K59" si="58">K58-J58</f>
        <v>10.486431322207977</v>
      </c>
      <c r="L59" s="8">
        <f t="shared" ref="L59" si="59">L58-K58</f>
        <v>10.578523162079591</v>
      </c>
      <c r="M59" s="8">
        <f t="shared" ref="M59" si="60">M58-L58</f>
        <v>10.880303779956421</v>
      </c>
      <c r="N59" s="8">
        <f t="shared" ref="N59" si="61">N58-M58</f>
        <v>11.18958030867077</v>
      </c>
      <c r="O59" s="8">
        <f t="shared" ref="O59" si="62">O58-N58</f>
        <v>11.506421874778425</v>
      </c>
      <c r="P59" s="8">
        <f t="shared" ref="P59" si="63">P58-O58</f>
        <v>11.915531261084482</v>
      </c>
      <c r="Q59" s="8">
        <f t="shared" ref="Q59" si="64">Q58-P58</f>
        <v>12.256119029729405</v>
      </c>
      <c r="R59" s="50">
        <f t="shared" ref="R59" si="65">R58-Q58</f>
        <v>12.633422208638422</v>
      </c>
      <c r="S59" s="69">
        <f t="shared" ref="S59" si="66">S58-R58</f>
        <v>12.993975281769281</v>
      </c>
      <c r="T59" s="8">
        <f t="shared" ref="T59" si="67">T58-S58</f>
        <v>13.363499987781324</v>
      </c>
      <c r="U59" s="8">
        <f t="shared" ref="U59" si="68">U58-T58</f>
        <v>13.8303558725828</v>
      </c>
      <c r="V59" s="8">
        <f t="shared" ref="V59" si="69">V58-U58</f>
        <v>14.226889382806348</v>
      </c>
      <c r="W59" s="8">
        <f t="shared" ref="W59" si="70">W58-V58</f>
        <v>14.622160738199796</v>
      </c>
      <c r="X59" s="8">
        <f t="shared" ref="X59" si="71">X58-W58</f>
        <v>15.08737580790438</v>
      </c>
      <c r="Y59" s="50">
        <f t="shared" ref="Y59" si="72">Y58-X58</f>
        <v>15.518135933562689</v>
      </c>
    </row>
    <row r="60" spans="2:25" ht="60" customHeight="1" x14ac:dyDescent="0.25">
      <c r="B60" s="167"/>
      <c r="C60" s="159"/>
      <c r="D60" s="159"/>
      <c r="E60" s="14" t="s">
        <v>42</v>
      </c>
      <c r="F60" s="5"/>
      <c r="G60" s="5">
        <f>G59/G56</f>
        <v>0.40476625782583869</v>
      </c>
      <c r="H60" s="5">
        <f t="shared" ref="H60:Y60" si="73">H59/H56</f>
        <v>0.41460870802504274</v>
      </c>
      <c r="I60" s="5">
        <f t="shared" si="73"/>
        <v>0.74206033010813854</v>
      </c>
      <c r="J60" s="5">
        <f t="shared" si="73"/>
        <v>0.32786148638528489</v>
      </c>
      <c r="K60" s="5">
        <f t="shared" si="73"/>
        <v>0.34598448312015162</v>
      </c>
      <c r="L60" s="5">
        <f t="shared" si="73"/>
        <v>0.33885720276787601</v>
      </c>
      <c r="M60" s="5">
        <f t="shared" si="73"/>
        <v>0.33837282449150974</v>
      </c>
      <c r="N60" s="5">
        <f t="shared" si="73"/>
        <v>0.3378555273031506</v>
      </c>
      <c r="O60" s="5">
        <f t="shared" si="73"/>
        <v>0.33730307399520321</v>
      </c>
      <c r="P60" s="5">
        <f t="shared" si="73"/>
        <v>0.33912217716240795</v>
      </c>
      <c r="Q60" s="5">
        <f t="shared" si="73"/>
        <v>0.33865580685459723</v>
      </c>
      <c r="R60" s="5">
        <f t="shared" si="73"/>
        <v>0.33891386983432947</v>
      </c>
      <c r="S60" s="5">
        <f t="shared" si="73"/>
        <v>0.33843334271781628</v>
      </c>
      <c r="T60" s="5">
        <f t="shared" si="73"/>
        <v>0.33792015841862966</v>
      </c>
      <c r="U60" s="5">
        <f t="shared" si="73"/>
        <v>0.33953927189169358</v>
      </c>
      <c r="V60" s="5">
        <f t="shared" si="73"/>
        <v>0.33910124782762469</v>
      </c>
      <c r="W60" s="5">
        <f t="shared" si="73"/>
        <v>0.3383714887019334</v>
      </c>
      <c r="X60" s="5">
        <f t="shared" si="73"/>
        <v>0.33896799297427949</v>
      </c>
      <c r="Y60" s="5">
        <f t="shared" si="73"/>
        <v>0.33849114412941123</v>
      </c>
    </row>
    <row r="61" spans="2:25" ht="60" x14ac:dyDescent="0.25">
      <c r="B61" s="167"/>
      <c r="C61" s="159"/>
      <c r="D61" s="172"/>
      <c r="E61" s="21" t="s">
        <v>43</v>
      </c>
      <c r="F61" s="16"/>
      <c r="G61" s="16">
        <f>G56-H59</f>
        <v>15.429122152000101</v>
      </c>
      <c r="H61" s="16">
        <f t="shared" ref="H61:X61" si="74">H56-I59</f>
        <v>6.5369958165601147</v>
      </c>
      <c r="I61" s="16">
        <f t="shared" si="74"/>
        <v>18.92139495079164</v>
      </c>
      <c r="J61" s="16">
        <f t="shared" si="74"/>
        <v>18.93974753958064</v>
      </c>
      <c r="K61" s="16">
        <f t="shared" si="74"/>
        <v>19.730441065562683</v>
      </c>
      <c r="L61" s="16">
        <f t="shared" si="74"/>
        <v>20.337929374515117</v>
      </c>
      <c r="M61" s="16">
        <f t="shared" si="74"/>
        <v>20.96519984043492</v>
      </c>
      <c r="N61" s="16">
        <f t="shared" si="74"/>
        <v>21.61300167880043</v>
      </c>
      <c r="O61" s="16">
        <f t="shared" si="74"/>
        <v>22.197474999101743</v>
      </c>
      <c r="P61" s="16">
        <f t="shared" si="74"/>
        <v>22.880277418262409</v>
      </c>
      <c r="Q61" s="16">
        <f t="shared" si="74"/>
        <v>23.557066132793153</v>
      </c>
      <c r="R61" s="16">
        <f t="shared" si="74"/>
        <v>24.282227709905243</v>
      </c>
      <c r="S61" s="16">
        <f t="shared" si="74"/>
        <v>25.030989093643434</v>
      </c>
      <c r="T61" s="16">
        <f t="shared" si="74"/>
        <v>25.715967881284705</v>
      </c>
      <c r="U61" s="16">
        <f t="shared" si="74"/>
        <v>26.505824083677183</v>
      </c>
      <c r="V61" s="16">
        <f t="shared" si="74"/>
        <v>27.332534132278248</v>
      </c>
      <c r="W61" s="16">
        <f t="shared" si="74"/>
        <v>28.125959908688003</v>
      </c>
      <c r="X61" s="16">
        <f t="shared" si="74"/>
        <v>28.991599854527465</v>
      </c>
      <c r="Y61" s="79"/>
    </row>
    <row r="62" spans="2:25" ht="30" x14ac:dyDescent="0.25">
      <c r="B62" s="167"/>
      <c r="C62" s="159"/>
      <c r="D62" s="23">
        <f>SUM(L62:Q62)</f>
        <v>-0.31732222956777534</v>
      </c>
      <c r="E62" s="22" t="s">
        <v>52</v>
      </c>
      <c r="F62" s="16"/>
      <c r="G62" s="16">
        <f>G56-G$32</f>
        <v>-4.2317191953145539E-2</v>
      </c>
      <c r="H62" s="16">
        <f t="shared" ref="H62:X62" si="75">H56-H$32</f>
        <v>-0.32600418343989546</v>
      </c>
      <c r="I62" s="16">
        <f t="shared" si="75"/>
        <v>-4.4894308943092653E-2</v>
      </c>
      <c r="J62" s="16">
        <f t="shared" si="75"/>
        <v>-4.6241138211374988E-2</v>
      </c>
      <c r="K62" s="16">
        <f t="shared" si="75"/>
        <v>-4.7628372357724658E-2</v>
      </c>
      <c r="L62" s="16">
        <f t="shared" si="75"/>
        <v>-4.905722352846098E-2</v>
      </c>
      <c r="M62" s="16">
        <f t="shared" si="75"/>
        <v>-5.0528940234308095E-2</v>
      </c>
      <c r="N62" s="16">
        <f t="shared" si="75"/>
        <v>-5.2044808441344514E-2</v>
      </c>
      <c r="O62" s="16">
        <f t="shared" si="75"/>
        <v>-5.3606152694577247E-2</v>
      </c>
      <c r="P62" s="16">
        <f t="shared" si="75"/>
        <v>-5.5214337275415915E-2</v>
      </c>
      <c r="Q62" s="16">
        <f t="shared" si="75"/>
        <v>-5.6870767393668586E-2</v>
      </c>
      <c r="R62" s="16">
        <f t="shared" si="75"/>
        <v>-5.857689041548042E-2</v>
      </c>
      <c r="S62" s="16">
        <f t="shared" si="75"/>
        <v>-6.0334197127950517E-2</v>
      </c>
      <c r="T62" s="16">
        <f t="shared" si="75"/>
        <v>-6.214422304178413E-2</v>
      </c>
      <c r="U62" s="16">
        <f t="shared" si="75"/>
        <v>-6.4008549733031828E-2</v>
      </c>
      <c r="V62" s="16">
        <f t="shared" si="75"/>
        <v>-6.5928806225024061E-2</v>
      </c>
      <c r="W62" s="16">
        <f t="shared" si="75"/>
        <v>-6.7906670411773007E-2</v>
      </c>
      <c r="X62" s="16">
        <f t="shared" si="75"/>
        <v>-6.9943870524134866E-2</v>
      </c>
      <c r="Y62" s="79"/>
    </row>
    <row r="63" spans="2:25" ht="45" customHeight="1" x14ac:dyDescent="0.25">
      <c r="B63" s="167"/>
      <c r="C63" s="159"/>
      <c r="D63" s="23">
        <f>SUM(K63:P63)</f>
        <v>1.6487612473517288</v>
      </c>
      <c r="E63" s="22" t="s">
        <v>53</v>
      </c>
      <c r="F63" s="10">
        <f>G$36-G59</f>
        <v>0</v>
      </c>
      <c r="G63" s="10">
        <f>H$36-H59</f>
        <v>0</v>
      </c>
      <c r="H63" s="10">
        <f t="shared" ref="H63:X63" si="76">I$36-I59</f>
        <v>0</v>
      </c>
      <c r="I63" s="10">
        <f t="shared" si="76"/>
        <v>0.54928925973473497</v>
      </c>
      <c r="J63" s="10">
        <f t="shared" si="76"/>
        <v>1.6478677791951668E-2</v>
      </c>
      <c r="K63" s="10">
        <f t="shared" si="76"/>
        <v>0.23947413792041061</v>
      </c>
      <c r="L63" s="10">
        <f t="shared" si="76"/>
        <v>0.26223343904359808</v>
      </c>
      <c r="M63" s="10">
        <f t="shared" si="76"/>
        <v>0.28723302689923003</v>
      </c>
      <c r="N63" s="10">
        <f t="shared" si="76"/>
        <v>0.31469586085864876</v>
      </c>
      <c r="O63" s="10">
        <f t="shared" si="76"/>
        <v>0.26022000662180744</v>
      </c>
      <c r="P63" s="10">
        <f t="shared" si="76"/>
        <v>0.28490477600803388</v>
      </c>
      <c r="Q63" s="10">
        <f t="shared" si="76"/>
        <v>0.28383231127099862</v>
      </c>
      <c r="R63" s="10">
        <f t="shared" si="76"/>
        <v>0.31079687373761544</v>
      </c>
      <c r="S63" s="10">
        <f t="shared" si="76"/>
        <v>0.34041533239070532</v>
      </c>
      <c r="T63" s="10">
        <f t="shared" si="76"/>
        <v>0.28467690719435268</v>
      </c>
      <c r="U63" s="10">
        <f t="shared" si="76"/>
        <v>0.31159438036416987</v>
      </c>
      <c r="V63" s="10">
        <f t="shared" si="76"/>
        <v>0.352477537865866</v>
      </c>
      <c r="W63" s="10">
        <f t="shared" si="76"/>
        <v>0.33650161644317222</v>
      </c>
      <c r="X63" s="10">
        <f t="shared" si="76"/>
        <v>0.36845781351530604</v>
      </c>
      <c r="Y63" s="56"/>
    </row>
    <row r="64" spans="2:25" x14ac:dyDescent="0.25">
      <c r="B64" s="167"/>
      <c r="C64" s="17"/>
      <c r="D64" s="17"/>
      <c r="E64" s="17"/>
      <c r="F64" s="17"/>
      <c r="G64" s="17"/>
      <c r="H64" s="17"/>
      <c r="I64" s="17"/>
      <c r="J64" s="17"/>
      <c r="K64" s="17"/>
      <c r="L64" s="17"/>
      <c r="M64" s="17"/>
      <c r="N64" s="17"/>
      <c r="O64" s="17"/>
      <c r="P64" s="17"/>
      <c r="Q64" s="17"/>
      <c r="R64" s="57"/>
      <c r="S64" s="65"/>
      <c r="T64" s="44"/>
      <c r="U64" s="44"/>
      <c r="V64" s="44"/>
      <c r="W64" s="66"/>
      <c r="X64" s="66"/>
      <c r="Y64" s="67"/>
    </row>
    <row r="65" spans="2:25" ht="15" customHeight="1" x14ac:dyDescent="0.25">
      <c r="B65" s="167"/>
      <c r="C65" s="173" t="s">
        <v>57</v>
      </c>
      <c r="D65" s="158" t="s">
        <v>58</v>
      </c>
      <c r="E65" s="130" t="s">
        <v>35</v>
      </c>
      <c r="F65" s="131">
        <f>$D$31*F$43</f>
        <v>137.60409888605059</v>
      </c>
      <c r="G65" s="131">
        <f t="shared" ref="G65:Y65" si="77">$D$31*G$43</f>
        <v>141.73222185263211</v>
      </c>
      <c r="H65" s="131">
        <f t="shared" si="77"/>
        <v>145.98418850821108</v>
      </c>
      <c r="I65" s="131">
        <f t="shared" si="77"/>
        <v>150.36371416345742</v>
      </c>
      <c r="J65" s="131">
        <f t="shared" si="77"/>
        <v>154.87462558836114</v>
      </c>
      <c r="K65" s="131">
        <f t="shared" si="77"/>
        <v>159.52086435601197</v>
      </c>
      <c r="L65" s="131">
        <f t="shared" si="77"/>
        <v>164.30649028669231</v>
      </c>
      <c r="M65" s="131">
        <f t="shared" si="77"/>
        <v>169.2356849952931</v>
      </c>
      <c r="N65" s="131">
        <f t="shared" si="77"/>
        <v>174.31275554515187</v>
      </c>
      <c r="O65" s="131">
        <f t="shared" si="77"/>
        <v>179.54213821150645</v>
      </c>
      <c r="P65" s="131">
        <f t="shared" si="77"/>
        <v>184.92840235785167</v>
      </c>
      <c r="Q65" s="131">
        <f t="shared" si="77"/>
        <v>190.47625442858723</v>
      </c>
      <c r="R65" s="131">
        <f t="shared" si="77"/>
        <v>196.19054206144486</v>
      </c>
      <c r="S65" s="131">
        <f t="shared" si="77"/>
        <v>202.07625832328822</v>
      </c>
      <c r="T65" s="131">
        <f t="shared" si="77"/>
        <v>208.13854607298686</v>
      </c>
      <c r="U65" s="131">
        <f t="shared" si="77"/>
        <v>214.38270245517649</v>
      </c>
      <c r="V65" s="131">
        <f t="shared" si="77"/>
        <v>220.81418352883179</v>
      </c>
      <c r="W65" s="131">
        <f t="shared" si="77"/>
        <v>227.43860903469675</v>
      </c>
      <c r="X65" s="131">
        <f t="shared" si="77"/>
        <v>234.26176730573766</v>
      </c>
      <c r="Y65" s="131">
        <f t="shared" si="77"/>
        <v>241.28962032490978</v>
      </c>
    </row>
    <row r="66" spans="2:25" ht="15" customHeight="1" x14ac:dyDescent="0.25">
      <c r="B66" s="167"/>
      <c r="C66" s="174"/>
      <c r="D66" s="159"/>
      <c r="E66" s="1" t="s">
        <v>37</v>
      </c>
      <c r="F66" s="8">
        <f t="shared" ref="F66:Y66" si="78">$D$32*F65</f>
        <v>26.144778788349612</v>
      </c>
      <c r="G66" s="8">
        <f t="shared" si="78"/>
        <v>26.929122152000101</v>
      </c>
      <c r="H66" s="8">
        <f t="shared" si="78"/>
        <v>27.736995816560103</v>
      </c>
      <c r="I66" s="8">
        <f t="shared" si="78"/>
        <v>28.569105691056908</v>
      </c>
      <c r="J66" s="8">
        <f t="shared" si="78"/>
        <v>29.426178861788618</v>
      </c>
      <c r="K66" s="8">
        <f t="shared" si="78"/>
        <v>30.308964227642274</v>
      </c>
      <c r="L66" s="8">
        <f t="shared" si="78"/>
        <v>31.218233154471537</v>
      </c>
      <c r="M66" s="8">
        <f t="shared" si="78"/>
        <v>32.15478014910569</v>
      </c>
      <c r="N66" s="8">
        <f t="shared" si="78"/>
        <v>33.119423553578855</v>
      </c>
      <c r="O66" s="8">
        <f t="shared" si="78"/>
        <v>34.113006260186225</v>
      </c>
      <c r="P66" s="8">
        <f t="shared" si="78"/>
        <v>35.136396447991814</v>
      </c>
      <c r="Q66" s="8">
        <f t="shared" si="78"/>
        <v>36.190488341431575</v>
      </c>
      <c r="R66" s="8">
        <f t="shared" si="78"/>
        <v>37.276202991674523</v>
      </c>
      <c r="S66" s="8">
        <f t="shared" si="78"/>
        <v>38.394489081424759</v>
      </c>
      <c r="T66" s="8">
        <f t="shared" si="78"/>
        <v>39.546323753867505</v>
      </c>
      <c r="U66" s="8">
        <f t="shared" si="78"/>
        <v>40.732713466483531</v>
      </c>
      <c r="V66" s="8">
        <f t="shared" si="78"/>
        <v>41.954694870478043</v>
      </c>
      <c r="W66" s="8">
        <f t="shared" si="78"/>
        <v>43.213335716592383</v>
      </c>
      <c r="X66" s="8">
        <f t="shared" si="78"/>
        <v>44.509735788090154</v>
      </c>
      <c r="Y66" s="8">
        <f t="shared" si="78"/>
        <v>45.845027861732859</v>
      </c>
    </row>
    <row r="67" spans="2:25" ht="15" customHeight="1" x14ac:dyDescent="0.25">
      <c r="B67" s="167"/>
      <c r="C67" s="174"/>
      <c r="D67" s="159"/>
      <c r="E67" s="1" t="s">
        <v>39</v>
      </c>
      <c r="F67" s="8">
        <f>$D$29*F43</f>
        <v>2156.7264834812877</v>
      </c>
      <c r="G67" s="8">
        <f>$D$29*G43</f>
        <v>2221.4282779857263</v>
      </c>
      <c r="H67" s="8">
        <f>$D$29*H43</f>
        <v>2288.0711263252983</v>
      </c>
      <c r="I67" s="8">
        <f>I68/0.144</f>
        <v>2360.4166666666665</v>
      </c>
      <c r="J67" s="8">
        <f>J43*$D$29</f>
        <v>2427.414657918509</v>
      </c>
      <c r="K67" s="8">
        <f t="shared" ref="K67:Y67" si="79">K43*$D$29*(1-V11)</f>
        <v>2500.2370976560642</v>
      </c>
      <c r="L67" s="8">
        <f t="shared" si="79"/>
        <v>2573.6990640593949</v>
      </c>
      <c r="M67" s="8">
        <f t="shared" si="79"/>
        <v>2649.3648894548251</v>
      </c>
      <c r="N67" s="8">
        <f t="shared" si="79"/>
        <v>2727.3006896121183</v>
      </c>
      <c r="O67" s="8">
        <f t="shared" si="79"/>
        <v>2807.5745637741311</v>
      </c>
      <c r="P67" s="8">
        <f t="shared" si="79"/>
        <v>2890.8444816438546</v>
      </c>
      <c r="Q67" s="8">
        <f t="shared" si="79"/>
        <v>2976.6124970496694</v>
      </c>
      <c r="R67" s="50">
        <f t="shared" si="79"/>
        <v>3065.1251673391785</v>
      </c>
      <c r="S67" s="69">
        <f t="shared" si="79"/>
        <v>3156.2932177373723</v>
      </c>
      <c r="T67" s="8">
        <f t="shared" si="79"/>
        <v>3250.1963096475115</v>
      </c>
      <c r="U67" s="8">
        <f t="shared" si="79"/>
        <v>3347.5295144042148</v>
      </c>
      <c r="V67" s="8">
        <f t="shared" si="79"/>
        <v>3447.7827153036192</v>
      </c>
      <c r="W67" s="8">
        <f t="shared" si="79"/>
        <v>3550.9745851262801</v>
      </c>
      <c r="X67" s="8">
        <f t="shared" si="79"/>
        <v>3657.6065099978623</v>
      </c>
      <c r="Y67" s="50">
        <f t="shared" si="79"/>
        <v>3767.4373926155918</v>
      </c>
    </row>
    <row r="68" spans="2:25" ht="15" customHeight="1" x14ac:dyDescent="0.25">
      <c r="B68" s="167"/>
      <c r="C68" s="159"/>
      <c r="D68" s="159"/>
      <c r="E68" s="1" t="s">
        <v>56</v>
      </c>
      <c r="F68" s="8">
        <v>296.3</v>
      </c>
      <c r="G68" s="8">
        <v>307.2</v>
      </c>
      <c r="H68" s="8">
        <v>318.7</v>
      </c>
      <c r="I68" s="8">
        <v>339.9</v>
      </c>
      <c r="J68" s="10">
        <f t="shared" ref="J68:Y68" si="80">0.144*J67</f>
        <v>349.54771074026525</v>
      </c>
      <c r="K68" s="10">
        <f t="shared" si="80"/>
        <v>360.03414206247322</v>
      </c>
      <c r="L68" s="10">
        <f t="shared" si="80"/>
        <v>370.61266522455281</v>
      </c>
      <c r="M68" s="10">
        <f t="shared" si="80"/>
        <v>381.50854408149479</v>
      </c>
      <c r="N68" s="10">
        <f t="shared" si="80"/>
        <v>392.73129930414501</v>
      </c>
      <c r="O68" s="10">
        <f t="shared" si="80"/>
        <v>404.29073718347485</v>
      </c>
      <c r="P68" s="10">
        <f t="shared" si="80"/>
        <v>416.28160535671503</v>
      </c>
      <c r="Q68" s="10">
        <f t="shared" si="80"/>
        <v>428.63219957515236</v>
      </c>
      <c r="R68" s="56">
        <f t="shared" si="80"/>
        <v>441.37802409684167</v>
      </c>
      <c r="S68" s="72">
        <f t="shared" si="80"/>
        <v>454.5062233541816</v>
      </c>
      <c r="T68" s="10">
        <f t="shared" si="80"/>
        <v>468.02826858924163</v>
      </c>
      <c r="U68" s="10">
        <f t="shared" si="80"/>
        <v>482.0442500742069</v>
      </c>
      <c r="V68" s="10">
        <f t="shared" si="80"/>
        <v>496.48071100372113</v>
      </c>
      <c r="W68" s="10">
        <f t="shared" si="80"/>
        <v>511.34034025818431</v>
      </c>
      <c r="X68" s="10">
        <f t="shared" si="80"/>
        <v>526.69533743969214</v>
      </c>
      <c r="Y68" s="56">
        <f t="shared" si="80"/>
        <v>542.5109845366452</v>
      </c>
    </row>
    <row r="69" spans="2:25" ht="45" x14ac:dyDescent="0.25">
      <c r="B69" s="167"/>
      <c r="C69" s="159"/>
      <c r="D69" s="159"/>
      <c r="E69" s="7" t="s">
        <v>51</v>
      </c>
      <c r="F69" s="8"/>
      <c r="G69" s="8">
        <f t="shared" ref="G69:Q69" si="81">G68-F68</f>
        <v>10.899999999999977</v>
      </c>
      <c r="H69" s="8">
        <f>H68-G68</f>
        <v>11.5</v>
      </c>
      <c r="I69" s="8">
        <f>I68-H68</f>
        <v>21.199999999999989</v>
      </c>
      <c r="J69" s="8">
        <f t="shared" si="81"/>
        <v>9.6477107402652678</v>
      </c>
      <c r="K69" s="8">
        <f t="shared" si="81"/>
        <v>10.486431322207977</v>
      </c>
      <c r="L69" s="8">
        <f t="shared" si="81"/>
        <v>10.578523162079591</v>
      </c>
      <c r="M69" s="8">
        <f t="shared" si="81"/>
        <v>10.895878856941977</v>
      </c>
      <c r="N69" s="8">
        <f t="shared" si="81"/>
        <v>11.222755222650221</v>
      </c>
      <c r="O69" s="8">
        <f t="shared" si="81"/>
        <v>11.559437879329835</v>
      </c>
      <c r="P69" s="8">
        <f t="shared" si="81"/>
        <v>11.990868173240187</v>
      </c>
      <c r="Q69" s="8">
        <f t="shared" si="81"/>
        <v>12.350594218437323</v>
      </c>
      <c r="R69" s="50">
        <f t="shared" ref="R69" si="82">R68-Q68</f>
        <v>12.745824521689315</v>
      </c>
      <c r="S69" s="69">
        <f t="shared" ref="S69" si="83">S68-R68</f>
        <v>13.128199257339929</v>
      </c>
      <c r="T69" s="8">
        <f t="shared" ref="T69" si="84">T68-S68</f>
        <v>13.522045235060034</v>
      </c>
      <c r="U69" s="8">
        <f t="shared" ref="U69" si="85">U68-T68</f>
        <v>14.015981484965266</v>
      </c>
      <c r="V69" s="8">
        <f t="shared" ref="V69" si="86">V68-U68</f>
        <v>14.436460929514226</v>
      </c>
      <c r="W69" s="8">
        <f t="shared" ref="W69" si="87">W68-V68</f>
        <v>14.859629254463186</v>
      </c>
      <c r="X69" s="8">
        <f t="shared" ref="X69" si="88">X68-W68</f>
        <v>15.354997181507827</v>
      </c>
      <c r="Y69" s="50">
        <f t="shared" ref="Y69" si="89">Y68-X68</f>
        <v>15.815647096953057</v>
      </c>
    </row>
    <row r="70" spans="2:25" ht="60" customHeight="1" x14ac:dyDescent="0.25">
      <c r="B70" s="167"/>
      <c r="C70" s="159"/>
      <c r="D70" s="159"/>
      <c r="E70" s="14" t="s">
        <v>42</v>
      </c>
      <c r="F70" s="5"/>
      <c r="G70" s="5">
        <f>G69/G66</f>
        <v>0.40476625782583869</v>
      </c>
      <c r="H70" s="5">
        <f t="shared" ref="H70:X70" si="90">H69/H66</f>
        <v>0.41460870802504274</v>
      </c>
      <c r="I70" s="5">
        <f t="shared" si="90"/>
        <v>0.74206033010813854</v>
      </c>
      <c r="J70" s="5">
        <f t="shared" si="90"/>
        <v>0.32786148638528489</v>
      </c>
      <c r="K70" s="5">
        <f t="shared" si="90"/>
        <v>0.34598448312015162</v>
      </c>
      <c r="L70" s="5">
        <f t="shared" si="90"/>
        <v>0.33885720276787601</v>
      </c>
      <c r="M70" s="5">
        <f t="shared" si="90"/>
        <v>0.33885720276787584</v>
      </c>
      <c r="N70" s="5">
        <f t="shared" si="90"/>
        <v>0.33885720276787545</v>
      </c>
      <c r="O70" s="5">
        <f t="shared" si="90"/>
        <v>0.33885720276787856</v>
      </c>
      <c r="P70" s="5">
        <f t="shared" si="90"/>
        <v>0.34126630461347479</v>
      </c>
      <c r="Q70" s="5">
        <f t="shared" si="90"/>
        <v>0.34126630461347274</v>
      </c>
      <c r="R70" s="5">
        <f t="shared" si="90"/>
        <v>0.34192926045971039</v>
      </c>
      <c r="S70" s="5">
        <f t="shared" si="90"/>
        <v>0.34192926045970873</v>
      </c>
      <c r="T70" s="5">
        <f t="shared" si="90"/>
        <v>0.34192926045970634</v>
      </c>
      <c r="U70" s="5">
        <f t="shared" si="90"/>
        <v>0.3440964348348205</v>
      </c>
      <c r="V70" s="5">
        <f t="shared" si="90"/>
        <v>0.3440964348348205</v>
      </c>
      <c r="W70" s="5">
        <f t="shared" si="90"/>
        <v>0.34386674872584805</v>
      </c>
      <c r="X70" s="5">
        <f t="shared" si="90"/>
        <v>0.34498064096836301</v>
      </c>
      <c r="Y70" s="78"/>
    </row>
    <row r="71" spans="2:25" ht="60" x14ac:dyDescent="0.25">
      <c r="B71" s="167"/>
      <c r="C71" s="159"/>
      <c r="D71" s="172"/>
      <c r="E71" s="21" t="s">
        <v>43</v>
      </c>
      <c r="F71" s="16"/>
      <c r="G71" s="16">
        <f>G66-H69</f>
        <v>15.429122152000101</v>
      </c>
      <c r="H71" s="16">
        <f t="shared" ref="H71:X71" si="91">H66-I69</f>
        <v>6.5369958165601147</v>
      </c>
      <c r="I71" s="16">
        <f t="shared" si="91"/>
        <v>18.92139495079164</v>
      </c>
      <c r="J71" s="16">
        <f t="shared" si="91"/>
        <v>18.93974753958064</v>
      </c>
      <c r="K71" s="16">
        <f t="shared" si="91"/>
        <v>19.730441065562683</v>
      </c>
      <c r="L71" s="16">
        <f t="shared" si="91"/>
        <v>20.322354297529561</v>
      </c>
      <c r="M71" s="16">
        <f t="shared" si="91"/>
        <v>20.932024926455469</v>
      </c>
      <c r="N71" s="16">
        <f t="shared" si="91"/>
        <v>21.55998567424902</v>
      </c>
      <c r="O71" s="16">
        <f t="shared" si="91"/>
        <v>22.122138086946038</v>
      </c>
      <c r="P71" s="16">
        <f t="shared" si="91"/>
        <v>22.785802229554491</v>
      </c>
      <c r="Q71" s="16">
        <f t="shared" si="91"/>
        <v>23.44466381974226</v>
      </c>
      <c r="R71" s="16">
        <f t="shared" si="91"/>
        <v>24.148003734334594</v>
      </c>
      <c r="S71" s="16">
        <f t="shared" si="91"/>
        <v>24.872443846364725</v>
      </c>
      <c r="T71" s="16">
        <f t="shared" si="91"/>
        <v>25.530342268902238</v>
      </c>
      <c r="U71" s="16">
        <f t="shared" si="91"/>
        <v>26.296252536969305</v>
      </c>
      <c r="V71" s="16">
        <f t="shared" si="91"/>
        <v>27.095065616014857</v>
      </c>
      <c r="W71" s="16">
        <f t="shared" si="91"/>
        <v>27.858338535084556</v>
      </c>
      <c r="X71" s="16">
        <f t="shared" si="91"/>
        <v>28.694088691137097</v>
      </c>
      <c r="Y71" s="79"/>
    </row>
    <row r="72" spans="2:25" ht="30" x14ac:dyDescent="0.25">
      <c r="B72" s="167"/>
      <c r="C72" s="159"/>
      <c r="D72" s="23">
        <f>SUM(L72:Q72)</f>
        <v>-0.31732222956777534</v>
      </c>
      <c r="E72" s="22" t="s">
        <v>52</v>
      </c>
      <c r="F72" s="16"/>
      <c r="G72" s="16">
        <f>G66-G$32</f>
        <v>-4.2317191953145539E-2</v>
      </c>
      <c r="H72" s="16">
        <f t="shared" ref="H72:X72" si="92">H66-H$32</f>
        <v>-0.32600418343989546</v>
      </c>
      <c r="I72" s="16">
        <f t="shared" si="92"/>
        <v>-4.4894308943092653E-2</v>
      </c>
      <c r="J72" s="16">
        <f t="shared" si="92"/>
        <v>-4.6241138211374988E-2</v>
      </c>
      <c r="K72" s="16">
        <f t="shared" si="92"/>
        <v>-4.7628372357724658E-2</v>
      </c>
      <c r="L72" s="16">
        <f t="shared" si="92"/>
        <v>-4.905722352846098E-2</v>
      </c>
      <c r="M72" s="16">
        <f t="shared" si="92"/>
        <v>-5.0528940234308095E-2</v>
      </c>
      <c r="N72" s="16">
        <f t="shared" si="92"/>
        <v>-5.2044808441344514E-2</v>
      </c>
      <c r="O72" s="16">
        <f t="shared" si="92"/>
        <v>-5.3606152694577247E-2</v>
      </c>
      <c r="P72" s="16">
        <f t="shared" si="92"/>
        <v>-5.5214337275415915E-2</v>
      </c>
      <c r="Q72" s="16">
        <f t="shared" si="92"/>
        <v>-5.6870767393668586E-2</v>
      </c>
      <c r="R72" s="16">
        <f t="shared" si="92"/>
        <v>-5.857689041548042E-2</v>
      </c>
      <c r="S72" s="16">
        <f t="shared" si="92"/>
        <v>-6.0334197127950517E-2</v>
      </c>
      <c r="T72" s="16">
        <f t="shared" si="92"/>
        <v>-6.214422304178413E-2</v>
      </c>
      <c r="U72" s="16">
        <f t="shared" si="92"/>
        <v>-6.4008549733031828E-2</v>
      </c>
      <c r="V72" s="16">
        <f t="shared" si="92"/>
        <v>-6.5928806225024061E-2</v>
      </c>
      <c r="W72" s="16">
        <f t="shared" si="92"/>
        <v>-6.7906670411773007E-2</v>
      </c>
      <c r="X72" s="16">
        <f t="shared" si="92"/>
        <v>-6.9943870524134866E-2</v>
      </c>
      <c r="Y72" s="79"/>
    </row>
    <row r="73" spans="2:25" ht="45" customHeight="1" x14ac:dyDescent="0.25">
      <c r="B73" s="167"/>
      <c r="C73" s="159"/>
      <c r="D73" s="23">
        <f>SUM(K73:P73)</f>
        <v>1.377183150971689</v>
      </c>
      <c r="E73" s="22" t="s">
        <v>53</v>
      </c>
      <c r="F73" s="10">
        <f>G$36-G69</f>
        <v>0</v>
      </c>
      <c r="G73" s="10">
        <f>H$36-H69</f>
        <v>0</v>
      </c>
      <c r="H73" s="10">
        <f t="shared" ref="H73:X73" si="93">I$36-I69</f>
        <v>0</v>
      </c>
      <c r="I73" s="10">
        <f t="shared" si="93"/>
        <v>0.54928925973473497</v>
      </c>
      <c r="J73" s="10">
        <f t="shared" si="93"/>
        <v>1.6478677791951668E-2</v>
      </c>
      <c r="K73" s="10">
        <f t="shared" si="93"/>
        <v>0.23947413792041061</v>
      </c>
      <c r="L73" s="10">
        <f t="shared" si="93"/>
        <v>0.24665836205804226</v>
      </c>
      <c r="M73" s="10">
        <f t="shared" si="93"/>
        <v>0.25405811291977898</v>
      </c>
      <c r="N73" s="10">
        <f t="shared" si="93"/>
        <v>0.26167985630723933</v>
      </c>
      <c r="O73" s="10">
        <f t="shared" si="93"/>
        <v>0.18488309446610174</v>
      </c>
      <c r="P73" s="10">
        <f t="shared" si="93"/>
        <v>0.19042958730011605</v>
      </c>
      <c r="Q73" s="10">
        <f t="shared" si="93"/>
        <v>0.17142999822010552</v>
      </c>
      <c r="R73" s="10">
        <f t="shared" si="93"/>
        <v>0.17657289816696675</v>
      </c>
      <c r="S73" s="10">
        <f t="shared" si="93"/>
        <v>0.18187008511199565</v>
      </c>
      <c r="T73" s="10">
        <f t="shared" si="93"/>
        <v>9.9051294811886237E-2</v>
      </c>
      <c r="U73" s="10">
        <f t="shared" si="93"/>
        <v>0.10202283365629228</v>
      </c>
      <c r="V73" s="10">
        <f t="shared" si="93"/>
        <v>0.11500902160247506</v>
      </c>
      <c r="W73" s="10">
        <f t="shared" si="93"/>
        <v>6.888024283972527E-2</v>
      </c>
      <c r="X73" s="10">
        <f t="shared" si="93"/>
        <v>7.094665012493806E-2</v>
      </c>
      <c r="Y73" s="56"/>
    </row>
    <row r="74" spans="2:25" ht="15.75" thickBot="1" x14ac:dyDescent="0.3">
      <c r="B74" s="168"/>
      <c r="C74" s="59"/>
      <c r="D74" s="59"/>
      <c r="E74" s="59"/>
      <c r="F74" s="59"/>
      <c r="G74" s="59"/>
      <c r="H74" s="59"/>
      <c r="I74" s="59"/>
      <c r="J74" s="59"/>
      <c r="K74" s="59"/>
      <c r="L74" s="59"/>
      <c r="M74" s="59"/>
      <c r="N74" s="59"/>
      <c r="O74" s="59"/>
      <c r="P74" s="59"/>
      <c r="Q74" s="59"/>
      <c r="R74" s="60"/>
      <c r="S74" s="73"/>
      <c r="T74" s="74"/>
      <c r="U74" s="74"/>
      <c r="V74" s="74"/>
      <c r="W74" s="75"/>
      <c r="X74" s="75"/>
      <c r="Y74" s="76"/>
    </row>
    <row r="76" spans="2:25" ht="15.75" thickBot="1" x14ac:dyDescent="0.3"/>
    <row r="77" spans="2:25" ht="15" customHeight="1" x14ac:dyDescent="0.25">
      <c r="C77" s="181" t="s">
        <v>59</v>
      </c>
      <c r="D77" s="164"/>
      <c r="E77" s="164"/>
      <c r="F77" s="164"/>
      <c r="G77" s="164"/>
      <c r="H77" s="164"/>
      <c r="I77" s="164"/>
      <c r="J77" s="169"/>
      <c r="K77" s="45"/>
      <c r="L77" s="45"/>
      <c r="M77" s="45"/>
      <c r="N77" s="45"/>
      <c r="O77" s="45"/>
      <c r="P77" s="45"/>
      <c r="Q77" s="45"/>
      <c r="R77" s="46"/>
      <c r="S77" s="61"/>
      <c r="T77" s="62"/>
      <c r="U77" s="62"/>
      <c r="V77" s="62"/>
      <c r="W77" s="63"/>
      <c r="X77" s="63"/>
      <c r="Y77" s="64"/>
    </row>
    <row r="78" spans="2:25" ht="15" customHeight="1" x14ac:dyDescent="0.25">
      <c r="C78" s="47"/>
      <c r="D78" s="17"/>
      <c r="E78" s="17"/>
      <c r="F78" s="18"/>
      <c r="G78" s="18"/>
      <c r="H78" s="18"/>
      <c r="I78" s="18"/>
      <c r="J78" s="18"/>
      <c r="K78" s="18"/>
      <c r="L78" s="18"/>
      <c r="M78" s="19"/>
      <c r="N78" s="20"/>
      <c r="O78" s="19"/>
      <c r="P78" s="19"/>
      <c r="Q78" s="19"/>
      <c r="R78" s="48"/>
      <c r="S78" s="65"/>
      <c r="T78" s="44"/>
      <c r="U78" s="44"/>
      <c r="V78" s="44"/>
      <c r="W78" s="66"/>
      <c r="X78" s="66"/>
      <c r="Y78" s="67"/>
    </row>
    <row r="79" spans="2:25" ht="15" customHeight="1" x14ac:dyDescent="0.25">
      <c r="C79" s="182" t="s">
        <v>60</v>
      </c>
      <c r="D79" s="153" t="s">
        <v>61</v>
      </c>
      <c r="E79" s="1"/>
      <c r="F79" s="1">
        <v>2016</v>
      </c>
      <c r="G79" s="1">
        <v>2017</v>
      </c>
      <c r="H79" s="1">
        <v>2018</v>
      </c>
      <c r="I79" s="15">
        <v>2019</v>
      </c>
      <c r="J79" s="1">
        <v>2020</v>
      </c>
      <c r="K79" s="1">
        <v>2021</v>
      </c>
      <c r="L79" s="1">
        <v>2022</v>
      </c>
      <c r="M79" s="1">
        <v>2023</v>
      </c>
      <c r="N79" s="1">
        <v>2024</v>
      </c>
      <c r="O79" s="1">
        <v>2025</v>
      </c>
      <c r="P79" s="1">
        <v>2026</v>
      </c>
      <c r="Q79" s="1">
        <v>2027</v>
      </c>
      <c r="R79" s="49">
        <v>2028</v>
      </c>
      <c r="S79" s="68">
        <v>2029</v>
      </c>
      <c r="T79" s="1">
        <v>2030</v>
      </c>
      <c r="U79" s="1">
        <v>2031</v>
      </c>
      <c r="V79" s="1">
        <v>2032</v>
      </c>
      <c r="W79" s="1">
        <v>2033</v>
      </c>
      <c r="X79" s="1">
        <v>2034</v>
      </c>
      <c r="Y79" s="49">
        <v>2035</v>
      </c>
    </row>
    <row r="80" spans="2:25" ht="15" customHeight="1" x14ac:dyDescent="0.25">
      <c r="C80" s="157"/>
      <c r="D80" s="154"/>
      <c r="E80" s="1" t="s">
        <v>50</v>
      </c>
      <c r="F80" s="8">
        <f t="shared" ref="F80:Y80" si="94">F35</f>
        <v>296.3</v>
      </c>
      <c r="G80" s="8">
        <f t="shared" si="94"/>
        <v>307.2</v>
      </c>
      <c r="H80" s="8">
        <f t="shared" si="94"/>
        <v>318.7</v>
      </c>
      <c r="I80" s="8">
        <f t="shared" si="94"/>
        <v>339.9</v>
      </c>
      <c r="J80" s="8">
        <f t="shared" si="94"/>
        <v>350.09699999999998</v>
      </c>
      <c r="K80" s="8">
        <f t="shared" si="94"/>
        <v>360.59990999999991</v>
      </c>
      <c r="L80" s="8">
        <f t="shared" si="94"/>
        <v>371.41790729999991</v>
      </c>
      <c r="M80" s="8">
        <f t="shared" si="94"/>
        <v>382.56044451899993</v>
      </c>
      <c r="N80" s="8">
        <f t="shared" si="94"/>
        <v>394.03725785456993</v>
      </c>
      <c r="O80" s="8">
        <f t="shared" si="94"/>
        <v>405.858375590207</v>
      </c>
      <c r="P80" s="8">
        <f t="shared" si="94"/>
        <v>418.03412685791329</v>
      </c>
      <c r="Q80" s="8">
        <f t="shared" si="94"/>
        <v>430.57515066365073</v>
      </c>
      <c r="R80" s="50">
        <f t="shared" si="94"/>
        <v>443.49240518356015</v>
      </c>
      <c r="S80" s="69">
        <f t="shared" si="94"/>
        <v>456.79717733906705</v>
      </c>
      <c r="T80" s="8">
        <f t="shared" si="94"/>
        <v>470.50109265923908</v>
      </c>
      <c r="U80" s="8">
        <f t="shared" si="94"/>
        <v>484.61612543901623</v>
      </c>
      <c r="V80" s="8">
        <f t="shared" si="94"/>
        <v>499.15460920218675</v>
      </c>
      <c r="W80" s="8">
        <f t="shared" si="94"/>
        <v>514.12924747825241</v>
      </c>
      <c r="X80" s="8">
        <f t="shared" si="94"/>
        <v>529.55312490259996</v>
      </c>
      <c r="Y80" s="50">
        <f t="shared" si="94"/>
        <v>545.43971864967796</v>
      </c>
    </row>
    <row r="81" spans="3:25" ht="15" customHeight="1" x14ac:dyDescent="0.25">
      <c r="C81" s="157"/>
      <c r="D81" s="154"/>
      <c r="E81" s="1" t="s">
        <v>39</v>
      </c>
      <c r="F81" s="8">
        <f>F80/0.144</f>
        <v>2057.6388888888891</v>
      </c>
      <c r="G81" s="8">
        <f t="shared" ref="G81:H81" si="95">G80/0.144</f>
        <v>2133.3333333333335</v>
      </c>
      <c r="H81" s="8">
        <f t="shared" si="95"/>
        <v>2213.1944444444443</v>
      </c>
      <c r="I81" s="8">
        <f t="shared" ref="I81" si="96">I80/0.144</f>
        <v>2360.4166666666665</v>
      </c>
      <c r="J81" s="8">
        <f t="shared" ref="J81" si="97">J80/0.144</f>
        <v>2431.2291666666665</v>
      </c>
      <c r="K81" s="8">
        <f t="shared" ref="K81" si="98">K80/0.144</f>
        <v>2504.1660416666664</v>
      </c>
      <c r="L81" s="8">
        <f t="shared" ref="L81" si="99">L80/0.144</f>
        <v>2579.2910229166664</v>
      </c>
      <c r="M81" s="8">
        <f t="shared" ref="M81" si="100">M80/0.144</f>
        <v>2656.6697536041665</v>
      </c>
      <c r="N81" s="8">
        <f t="shared" ref="N81" si="101">N80/0.144</f>
        <v>2736.3698462122916</v>
      </c>
      <c r="O81" s="8">
        <f t="shared" ref="O81" si="102">O80/0.144</f>
        <v>2818.4609415986602</v>
      </c>
      <c r="P81" s="8">
        <f t="shared" ref="P81" si="103">P80/0.144</f>
        <v>2903.0147698466203</v>
      </c>
      <c r="Q81" s="8">
        <f t="shared" ref="Q81:Y81" si="104">Q80/0.144</f>
        <v>2990.1052129420191</v>
      </c>
      <c r="R81" s="50">
        <f t="shared" ref="R81:X81" si="105">R80/0.144</f>
        <v>3079.8083693302792</v>
      </c>
      <c r="S81" s="69">
        <f t="shared" si="104"/>
        <v>3172.202620410188</v>
      </c>
      <c r="T81" s="8">
        <f t="shared" si="105"/>
        <v>3267.3686990224937</v>
      </c>
      <c r="U81" s="8">
        <f t="shared" si="104"/>
        <v>3365.3897599931684</v>
      </c>
      <c r="V81" s="8">
        <f t="shared" si="105"/>
        <v>3466.3514527929638</v>
      </c>
      <c r="W81" s="8">
        <f t="shared" si="104"/>
        <v>3570.3419963767533</v>
      </c>
      <c r="X81" s="8">
        <f t="shared" si="105"/>
        <v>3677.4522562680554</v>
      </c>
      <c r="Y81" s="50">
        <f t="shared" si="104"/>
        <v>3787.7758239560972</v>
      </c>
    </row>
    <row r="82" spans="3:25" ht="15" customHeight="1" x14ac:dyDescent="0.25">
      <c r="C82" s="157"/>
      <c r="D82" s="154"/>
      <c r="E82" s="11" t="s">
        <v>62</v>
      </c>
      <c r="F82" s="51">
        <f>F81/$D$29</f>
        <v>6111.6778464254203</v>
      </c>
      <c r="G82" s="51">
        <f>G81/$D$29</f>
        <v>6336.5083848190652</v>
      </c>
      <c r="H82" s="51">
        <f>H81/$D$29</f>
        <v>6573.7149161518091</v>
      </c>
      <c r="I82" s="51">
        <v>7000</v>
      </c>
      <c r="J82" s="28">
        <f>J81/$D$29</f>
        <v>7221.33</v>
      </c>
      <c r="K82" s="28">
        <f>K81/$D$29</f>
        <v>7437.9698999999991</v>
      </c>
      <c r="L82" s="52">
        <f t="shared" ref="L82:Y82" si="106">L81/($D$29*(1-W5))</f>
        <v>7665.7084220532315</v>
      </c>
      <c r="M82" s="52">
        <f t="shared" si="106"/>
        <v>7901.0679073349338</v>
      </c>
      <c r="N82" s="52">
        <f t="shared" si="106"/>
        <v>8144.4369127261361</v>
      </c>
      <c r="O82" s="52">
        <f t="shared" si="106"/>
        <v>8396.2484948014371</v>
      </c>
      <c r="P82" s="52">
        <f t="shared" si="106"/>
        <v>8655.2261253718389</v>
      </c>
      <c r="Q82" s="52">
        <f t="shared" si="106"/>
        <v>8923.3199879054991</v>
      </c>
      <c r="R82" s="53">
        <f t="shared" si="106"/>
        <v>9200.3773941152904</v>
      </c>
      <c r="S82" s="70">
        <f t="shared" si="106"/>
        <v>9486.1858499423743</v>
      </c>
      <c r="T82" s="52">
        <f t="shared" si="106"/>
        <v>9780.9966491135256</v>
      </c>
      <c r="U82" s="52">
        <f t="shared" si="106"/>
        <v>10083.200102393786</v>
      </c>
      <c r="V82" s="52">
        <f t="shared" si="106"/>
        <v>10394.510701679237</v>
      </c>
      <c r="W82" s="52">
        <f t="shared" si="106"/>
        <v>10716.040054024077</v>
      </c>
      <c r="X82" s="52">
        <f t="shared" si="106"/>
        <v>11046.834985681493</v>
      </c>
      <c r="Y82" s="53">
        <f t="shared" si="106"/>
        <v>11388.066214578297</v>
      </c>
    </row>
    <row r="83" spans="3:25" ht="15" customHeight="1" x14ac:dyDescent="0.25">
      <c r="C83" s="157"/>
      <c r="D83" s="155"/>
      <c r="E83" s="24" t="s">
        <v>63</v>
      </c>
      <c r="F83" s="54">
        <f>0</f>
        <v>0</v>
      </c>
      <c r="G83" s="54">
        <f>0</f>
        <v>0</v>
      </c>
      <c r="H83" s="54">
        <f>0</f>
        <v>0</v>
      </c>
      <c r="I83" s="54">
        <f>0</f>
        <v>0</v>
      </c>
      <c r="J83" s="2">
        <f>(J82-J$30)/J$30</f>
        <v>0</v>
      </c>
      <c r="K83" s="2">
        <f t="shared" ref="K83:R83" si="107">(K82-K$30)/K$30</f>
        <v>-1.2227727646127316E-16</v>
      </c>
      <c r="L83" s="2">
        <f t="shared" si="107"/>
        <v>6.0036021612958697E-4</v>
      </c>
      <c r="M83" s="2">
        <f t="shared" si="107"/>
        <v>1.283197884667643E-3</v>
      </c>
      <c r="N83" s="2">
        <f t="shared" si="107"/>
        <v>2.0628761632014141E-3</v>
      </c>
      <c r="O83" s="2">
        <f t="shared" si="107"/>
        <v>2.9562016260209815E-3</v>
      </c>
      <c r="P83" s="2">
        <f t="shared" si="107"/>
        <v>3.7784754381782024E-3</v>
      </c>
      <c r="Q83" s="2">
        <f t="shared" si="107"/>
        <v>4.7284551691224143E-3</v>
      </c>
      <c r="R83" s="42">
        <f t="shared" si="107"/>
        <v>5.7514161640298926E-3</v>
      </c>
      <c r="S83" s="71">
        <f t="shared" ref="S83:Y83" si="108">(S82-S$30)/S$30</f>
        <v>6.7912090317413017E-3</v>
      </c>
      <c r="T83" s="2">
        <f t="shared" si="108"/>
        <v>7.8448275083166045E-3</v>
      </c>
      <c r="U83" s="2">
        <f t="shared" si="108"/>
        <v>8.7225331306128341E-3</v>
      </c>
      <c r="V83" s="2">
        <f t="shared" si="108"/>
        <v>9.5786608018686506E-3</v>
      </c>
      <c r="W83" s="2">
        <f t="shared" si="108"/>
        <v>1.0492780998549851E-2</v>
      </c>
      <c r="X83" s="2">
        <f t="shared" si="108"/>
        <v>1.1345459489332816E-2</v>
      </c>
      <c r="Y83" s="42">
        <f t="shared" si="108"/>
        <v>1.2218851315753501E-2</v>
      </c>
    </row>
    <row r="84" spans="3:25" ht="15" customHeight="1" x14ac:dyDescent="0.25">
      <c r="C84" s="157"/>
      <c r="D84" s="17"/>
      <c r="E84" s="17"/>
      <c r="F84" s="25"/>
      <c r="G84" s="25"/>
      <c r="H84" s="25"/>
      <c r="I84" s="25"/>
      <c r="J84" s="25"/>
      <c r="K84" s="25"/>
      <c r="L84" s="20" t="s">
        <v>47</v>
      </c>
      <c r="M84" s="25"/>
      <c r="N84" s="25"/>
      <c r="O84" s="25"/>
      <c r="P84" s="25"/>
      <c r="Q84" s="25"/>
      <c r="R84" s="55"/>
      <c r="S84" s="65"/>
      <c r="T84" s="44"/>
      <c r="U84" s="44"/>
      <c r="V84" s="44"/>
      <c r="W84" s="66"/>
      <c r="X84" s="66"/>
      <c r="Y84" s="67"/>
    </row>
    <row r="85" spans="3:25" ht="29.25" customHeight="1" x14ac:dyDescent="0.25">
      <c r="C85" s="157"/>
      <c r="D85" s="158"/>
      <c r="E85" s="1" t="s">
        <v>35</v>
      </c>
      <c r="F85" s="8">
        <f t="shared" ref="F85:J86" si="109">F31</f>
        <v>137.8203338985858</v>
      </c>
      <c r="G85" s="8">
        <f t="shared" si="109"/>
        <v>141.9549439155434</v>
      </c>
      <c r="H85" s="8">
        <f t="shared" si="109"/>
        <v>147.69999999999999</v>
      </c>
      <c r="I85" s="8">
        <f t="shared" si="109"/>
        <v>150.6</v>
      </c>
      <c r="J85" s="8">
        <f t="shared" si="109"/>
        <v>155.11799999999997</v>
      </c>
      <c r="K85" s="8">
        <f t="shared" ref="K85:Y85" si="110">K82*$D$31</f>
        <v>159.77153999999996</v>
      </c>
      <c r="L85" s="8">
        <f t="shared" si="110"/>
        <v>164.6634842905743</v>
      </c>
      <c r="M85" s="8">
        <f t="shared" si="110"/>
        <v>169.71913091493951</v>
      </c>
      <c r="N85" s="8">
        <f t="shared" si="110"/>
        <v>174.94682628106631</v>
      </c>
      <c r="O85" s="8">
        <f t="shared" si="110"/>
        <v>180.35587267395468</v>
      </c>
      <c r="P85" s="8">
        <f t="shared" si="110"/>
        <v>185.91884959078573</v>
      </c>
      <c r="Q85" s="8">
        <f t="shared" si="110"/>
        <v>191.67764800721267</v>
      </c>
      <c r="R85" s="8">
        <f t="shared" si="110"/>
        <v>197.62898809781237</v>
      </c>
      <c r="S85" s="8">
        <f t="shared" si="110"/>
        <v>203.76830537745278</v>
      </c>
      <c r="T85" s="8">
        <f t="shared" si="110"/>
        <v>210.10099776872013</v>
      </c>
      <c r="U85" s="8">
        <f t="shared" si="110"/>
        <v>216.59248829275481</v>
      </c>
      <c r="V85" s="8">
        <f t="shared" si="110"/>
        <v>223.27960514518512</v>
      </c>
      <c r="W85" s="8">
        <f t="shared" si="110"/>
        <v>230.18622623534813</v>
      </c>
      <c r="X85" s="8">
        <f t="shared" si="110"/>
        <v>237.2918768854133</v>
      </c>
      <c r="Y85" s="8">
        <f t="shared" si="110"/>
        <v>244.62170473762535</v>
      </c>
    </row>
    <row r="86" spans="3:25" ht="33" customHeight="1" x14ac:dyDescent="0.25">
      <c r="C86" s="157"/>
      <c r="D86" s="159"/>
      <c r="E86" s="1" t="s">
        <v>37</v>
      </c>
      <c r="F86" s="8">
        <f t="shared" si="109"/>
        <v>26.185863440731303</v>
      </c>
      <c r="G86" s="8">
        <f t="shared" si="109"/>
        <v>26.971439343953246</v>
      </c>
      <c r="H86" s="8">
        <f t="shared" si="109"/>
        <v>28.062999999999999</v>
      </c>
      <c r="I86" s="8">
        <f t="shared" si="109"/>
        <v>28.614000000000001</v>
      </c>
      <c r="J86" s="8">
        <f t="shared" si="109"/>
        <v>29.472419999999993</v>
      </c>
      <c r="K86" s="8">
        <f t="shared" ref="K86:Y86" si="111">K85*$D$32</f>
        <v>30.356592599999992</v>
      </c>
      <c r="L86" s="8">
        <f t="shared" si="111"/>
        <v>31.286062015209119</v>
      </c>
      <c r="M86" s="8">
        <f t="shared" si="111"/>
        <v>32.246634873838509</v>
      </c>
      <c r="N86" s="8">
        <f t="shared" si="111"/>
        <v>33.239896993402596</v>
      </c>
      <c r="O86" s="8">
        <f t="shared" si="111"/>
        <v>34.267615808051389</v>
      </c>
      <c r="P86" s="8">
        <f t="shared" si="111"/>
        <v>35.324581422249288</v>
      </c>
      <c r="Q86" s="8">
        <f t="shared" si="111"/>
        <v>36.418753121370408</v>
      </c>
      <c r="R86" s="50">
        <f t="shared" si="111"/>
        <v>37.549507738584353</v>
      </c>
      <c r="S86" s="69">
        <f t="shared" si="111"/>
        <v>38.715978021716026</v>
      </c>
      <c r="T86" s="8">
        <f t="shared" si="111"/>
        <v>39.919189576056823</v>
      </c>
      <c r="U86" s="8">
        <f t="shared" si="111"/>
        <v>41.152572775623412</v>
      </c>
      <c r="V86" s="8">
        <f t="shared" si="111"/>
        <v>42.423124977585175</v>
      </c>
      <c r="W86" s="8">
        <f t="shared" si="111"/>
        <v>43.735382984716146</v>
      </c>
      <c r="X86" s="8">
        <f t="shared" si="111"/>
        <v>45.085456608228526</v>
      </c>
      <c r="Y86" s="50">
        <f t="shared" si="111"/>
        <v>46.478123900148816</v>
      </c>
    </row>
    <row r="87" spans="3:25" ht="105" x14ac:dyDescent="0.25">
      <c r="C87" s="157"/>
      <c r="D87" s="23">
        <f>SUM(F87:P87)</f>
        <v>0.3625000852426723</v>
      </c>
      <c r="E87" s="22" t="s">
        <v>64</v>
      </c>
      <c r="F87" s="27">
        <f>F86-F$32</f>
        <v>0</v>
      </c>
      <c r="G87" s="27">
        <f>G86-G$32</f>
        <v>0</v>
      </c>
      <c r="H87" s="27">
        <f>H86-H$32</f>
        <v>0</v>
      </c>
      <c r="I87" s="27">
        <f t="shared" ref="I87" si="112">I86-I$32</f>
        <v>0</v>
      </c>
      <c r="J87" s="27">
        <f t="shared" ref="J87" si="113">J86-J$32</f>
        <v>0</v>
      </c>
      <c r="K87" s="27">
        <f t="shared" ref="K87:R87" si="114">K86-K$32</f>
        <v>0</v>
      </c>
      <c r="L87" s="27">
        <f t="shared" si="114"/>
        <v>1.8771637209120229E-2</v>
      </c>
      <c r="M87" s="27">
        <f t="shared" si="114"/>
        <v>4.1325784498511098E-2</v>
      </c>
      <c r="N87" s="27">
        <f t="shared" si="114"/>
        <v>6.8428631382396077E-2</v>
      </c>
      <c r="O87" s="27">
        <f t="shared" si="114"/>
        <v>0.10100339517058643</v>
      </c>
      <c r="P87" s="27">
        <f t="shared" si="114"/>
        <v>0.13297063698205847</v>
      </c>
      <c r="Q87" s="27">
        <f t="shared" si="114"/>
        <v>0.17139401254516429</v>
      </c>
      <c r="R87" s="128">
        <f t="shared" si="114"/>
        <v>0.21472785649434911</v>
      </c>
      <c r="S87" s="72">
        <f t="shared" ref="S87:Y87" si="115">S86-S$32</f>
        <v>0.26115474316331699</v>
      </c>
      <c r="T87" s="10">
        <f t="shared" si="115"/>
        <v>0.31072159914753428</v>
      </c>
      <c r="U87" s="10">
        <f t="shared" si="115"/>
        <v>0.35585075940684874</v>
      </c>
      <c r="V87" s="10">
        <f t="shared" si="115"/>
        <v>0.40250130088210767</v>
      </c>
      <c r="W87" s="10">
        <f t="shared" si="115"/>
        <v>0.45414059771199078</v>
      </c>
      <c r="X87" s="10">
        <f t="shared" si="115"/>
        <v>0.50577694961423703</v>
      </c>
      <c r="Y87" s="56">
        <f t="shared" si="115"/>
        <v>0.56105385177610145</v>
      </c>
    </row>
    <row r="88" spans="3:25" ht="15" customHeight="1" x14ac:dyDescent="0.25">
      <c r="C88" s="47"/>
      <c r="D88" s="17"/>
      <c r="E88" s="17"/>
      <c r="F88" s="17"/>
      <c r="G88" s="17"/>
      <c r="H88" s="17"/>
      <c r="I88" s="17"/>
      <c r="J88" s="17"/>
      <c r="K88" s="17"/>
      <c r="L88" s="17"/>
      <c r="M88" s="17"/>
      <c r="N88" s="17"/>
      <c r="O88" s="17"/>
      <c r="P88" s="17"/>
      <c r="Q88" s="17"/>
      <c r="R88" s="57"/>
      <c r="S88" s="65"/>
      <c r="T88" s="44"/>
      <c r="U88" s="44"/>
      <c r="V88" s="44"/>
      <c r="W88" s="66"/>
      <c r="X88" s="66"/>
      <c r="Y88" s="67"/>
    </row>
    <row r="89" spans="3:25" ht="15" customHeight="1" x14ac:dyDescent="0.25">
      <c r="C89" s="156" t="s">
        <v>54</v>
      </c>
      <c r="D89" s="153" t="s">
        <v>61</v>
      </c>
      <c r="E89" s="1"/>
      <c r="F89" s="1">
        <v>2016</v>
      </c>
      <c r="G89" s="1">
        <v>2017</v>
      </c>
      <c r="H89" s="1">
        <v>2018</v>
      </c>
      <c r="I89" s="15">
        <v>2019</v>
      </c>
      <c r="J89" s="1">
        <v>2020</v>
      </c>
      <c r="K89" s="1">
        <v>2021</v>
      </c>
      <c r="L89" s="1">
        <v>2022</v>
      </c>
      <c r="M89" s="1">
        <v>2023</v>
      </c>
      <c r="N89" s="1">
        <v>2024</v>
      </c>
      <c r="O89" s="1">
        <v>2025</v>
      </c>
      <c r="P89" s="1">
        <v>2026</v>
      </c>
      <c r="Q89" s="1">
        <v>2027</v>
      </c>
      <c r="R89" s="49">
        <v>2028</v>
      </c>
      <c r="S89" s="68">
        <v>2029</v>
      </c>
      <c r="T89" s="1">
        <v>2030</v>
      </c>
      <c r="U89" s="1">
        <v>2031</v>
      </c>
      <c r="V89" s="1">
        <v>2032</v>
      </c>
      <c r="W89" s="1">
        <v>2033</v>
      </c>
      <c r="X89" s="1">
        <v>2034</v>
      </c>
      <c r="Y89" s="49">
        <v>2035</v>
      </c>
    </row>
    <row r="90" spans="3:25" ht="15" customHeight="1" x14ac:dyDescent="0.25">
      <c r="C90" s="157"/>
      <c r="D90" s="154"/>
      <c r="E90" s="1" t="s">
        <v>50</v>
      </c>
      <c r="F90" s="8">
        <f t="shared" ref="F90:Y90" si="116">F35</f>
        <v>296.3</v>
      </c>
      <c r="G90" s="8">
        <f t="shared" si="116"/>
        <v>307.2</v>
      </c>
      <c r="H90" s="8">
        <f t="shared" si="116"/>
        <v>318.7</v>
      </c>
      <c r="I90" s="8">
        <f t="shared" si="116"/>
        <v>339.9</v>
      </c>
      <c r="J90" s="8">
        <f t="shared" si="116"/>
        <v>350.09699999999998</v>
      </c>
      <c r="K90" s="8">
        <f t="shared" si="116"/>
        <v>360.59990999999991</v>
      </c>
      <c r="L90" s="8">
        <f t="shared" si="116"/>
        <v>371.41790729999991</v>
      </c>
      <c r="M90" s="8">
        <f t="shared" si="116"/>
        <v>382.56044451899993</v>
      </c>
      <c r="N90" s="8">
        <f t="shared" si="116"/>
        <v>394.03725785456993</v>
      </c>
      <c r="O90" s="8">
        <f t="shared" si="116"/>
        <v>405.858375590207</v>
      </c>
      <c r="P90" s="8">
        <f t="shared" si="116"/>
        <v>418.03412685791329</v>
      </c>
      <c r="Q90" s="8">
        <f t="shared" si="116"/>
        <v>430.57515066365073</v>
      </c>
      <c r="R90" s="50">
        <f t="shared" si="116"/>
        <v>443.49240518356015</v>
      </c>
      <c r="S90" s="69">
        <f t="shared" si="116"/>
        <v>456.79717733906705</v>
      </c>
      <c r="T90" s="8">
        <f t="shared" si="116"/>
        <v>470.50109265923908</v>
      </c>
      <c r="U90" s="8">
        <f t="shared" si="116"/>
        <v>484.61612543901623</v>
      </c>
      <c r="V90" s="8">
        <f t="shared" si="116"/>
        <v>499.15460920218675</v>
      </c>
      <c r="W90" s="8">
        <f t="shared" si="116"/>
        <v>514.12924747825241</v>
      </c>
      <c r="X90" s="8">
        <f t="shared" si="116"/>
        <v>529.55312490259996</v>
      </c>
      <c r="Y90" s="50">
        <f t="shared" si="116"/>
        <v>545.43971864967796</v>
      </c>
    </row>
    <row r="91" spans="3:25" ht="15" customHeight="1" x14ac:dyDescent="0.25">
      <c r="C91" s="157"/>
      <c r="D91" s="154"/>
      <c r="E91" s="1" t="s">
        <v>39</v>
      </c>
      <c r="F91" s="8">
        <f>F90/0.144</f>
        <v>2057.6388888888891</v>
      </c>
      <c r="G91" s="8">
        <f t="shared" ref="G91" si="117">G90/0.144</f>
        <v>2133.3333333333335</v>
      </c>
      <c r="H91" s="8">
        <f t="shared" ref="H91" si="118">H90/0.144</f>
        <v>2213.1944444444443</v>
      </c>
      <c r="I91" s="8">
        <f t="shared" ref="I91" si="119">I90/0.144</f>
        <v>2360.4166666666665</v>
      </c>
      <c r="J91" s="8">
        <f t="shared" ref="J91" si="120">J90/0.144</f>
        <v>2431.2291666666665</v>
      </c>
      <c r="K91" s="8">
        <f t="shared" ref="K91" si="121">K90/0.144</f>
        <v>2504.1660416666664</v>
      </c>
      <c r="L91" s="8">
        <f t="shared" ref="L91" si="122">L90/0.144</f>
        <v>2579.2910229166664</v>
      </c>
      <c r="M91" s="8">
        <f t="shared" ref="M91" si="123">M90/0.144</f>
        <v>2656.6697536041665</v>
      </c>
      <c r="N91" s="8">
        <f t="shared" ref="N91" si="124">N90/0.144</f>
        <v>2736.3698462122916</v>
      </c>
      <c r="O91" s="8">
        <f t="shared" ref="O91" si="125">O90/0.144</f>
        <v>2818.4609415986602</v>
      </c>
      <c r="P91" s="8">
        <f t="shared" ref="P91" si="126">P90/0.144</f>
        <v>2903.0147698466203</v>
      </c>
      <c r="Q91" s="8">
        <f t="shared" ref="Q91:Y91" si="127">Q90/0.144</f>
        <v>2990.1052129420191</v>
      </c>
      <c r="R91" s="50">
        <f t="shared" ref="R91:X91" si="128">R90/0.144</f>
        <v>3079.8083693302792</v>
      </c>
      <c r="S91" s="69">
        <f t="shared" si="127"/>
        <v>3172.202620410188</v>
      </c>
      <c r="T91" s="8">
        <f t="shared" si="128"/>
        <v>3267.3686990224937</v>
      </c>
      <c r="U91" s="8">
        <f t="shared" si="127"/>
        <v>3365.3897599931684</v>
      </c>
      <c r="V91" s="8">
        <f t="shared" si="128"/>
        <v>3466.3514527929638</v>
      </c>
      <c r="W91" s="8">
        <f t="shared" si="127"/>
        <v>3570.3419963767533</v>
      </c>
      <c r="X91" s="8">
        <f t="shared" si="128"/>
        <v>3677.4522562680554</v>
      </c>
      <c r="Y91" s="50">
        <f t="shared" si="127"/>
        <v>3787.7758239560972</v>
      </c>
    </row>
    <row r="92" spans="3:25" ht="30" x14ac:dyDescent="0.25">
      <c r="C92" s="157"/>
      <c r="D92" s="154"/>
      <c r="E92" s="11" t="s">
        <v>62</v>
      </c>
      <c r="F92" s="51">
        <f>F91/$D$29</f>
        <v>6111.6778464254203</v>
      </c>
      <c r="G92" s="51">
        <f>G91/$D$29</f>
        <v>6336.5083848190652</v>
      </c>
      <c r="H92" s="51">
        <f>H91/$D$29</f>
        <v>6573.7149161518091</v>
      </c>
      <c r="I92" s="51">
        <v>7000</v>
      </c>
      <c r="J92" s="28">
        <f>J91/$D$29</f>
        <v>7221.33</v>
      </c>
      <c r="K92" s="28">
        <f>K91/$D$29</f>
        <v>7437.9698999999991</v>
      </c>
      <c r="L92" s="52">
        <f t="shared" ref="L92:Y92" si="129">L91/($D$29*(1-W8))</f>
        <v>7665.7084220532315</v>
      </c>
      <c r="M92" s="52">
        <f t="shared" si="129"/>
        <v>7900.6070872303007</v>
      </c>
      <c r="N92" s="52">
        <f t="shared" si="129"/>
        <v>8142.9140331450562</v>
      </c>
      <c r="O92" s="52">
        <f t="shared" si="129"/>
        <v>8392.8882772400029</v>
      </c>
      <c r="P92" s="52">
        <f t="shared" si="129"/>
        <v>8649.0405923653689</v>
      </c>
      <c r="Q92" s="52">
        <f t="shared" si="129"/>
        <v>8913.2330076632716</v>
      </c>
      <c r="R92" s="53">
        <f t="shared" si="129"/>
        <v>9185.1557647778209</v>
      </c>
      <c r="S92" s="70">
        <f t="shared" si="129"/>
        <v>9465.6252612267017</v>
      </c>
      <c r="T92" s="52">
        <f t="shared" si="129"/>
        <v>9754.9374630839666</v>
      </c>
      <c r="U92" s="52">
        <f t="shared" si="129"/>
        <v>10051.556948637321</v>
      </c>
      <c r="V92" s="52">
        <f t="shared" si="129"/>
        <v>10357.462308978556</v>
      </c>
      <c r="W92" s="52">
        <f t="shared" si="129"/>
        <v>10673.208334199455</v>
      </c>
      <c r="X92" s="52">
        <f t="shared" si="129"/>
        <v>10997.87531563873</v>
      </c>
      <c r="Y92" s="53">
        <f t="shared" si="129"/>
        <v>11332.744123000863</v>
      </c>
    </row>
    <row r="93" spans="3:25" ht="45" x14ac:dyDescent="0.25">
      <c r="C93" s="157"/>
      <c r="D93" s="155"/>
      <c r="E93" s="24" t="s">
        <v>63</v>
      </c>
      <c r="F93" s="54">
        <f>0</f>
        <v>0</v>
      </c>
      <c r="G93" s="54">
        <f>0</f>
        <v>0</v>
      </c>
      <c r="H93" s="54">
        <f>0</f>
        <v>0</v>
      </c>
      <c r="I93" s="54">
        <f>0</f>
        <v>0</v>
      </c>
      <c r="J93" s="2">
        <f>(J92-J$30)/J$30</f>
        <v>0</v>
      </c>
      <c r="K93" s="2">
        <f t="shared" ref="K93" si="130">(K92-K$30)/K$30</f>
        <v>-1.2227727646127316E-16</v>
      </c>
      <c r="L93" s="2">
        <f t="shared" ref="L93" si="131">(L92-L$30)/L$30</f>
        <v>6.0036021612958697E-4</v>
      </c>
      <c r="M93" s="2">
        <f t="shared" ref="M93" si="132">(M92-M$30)/M$30</f>
        <v>1.2247992690085894E-3</v>
      </c>
      <c r="N93" s="2">
        <f t="shared" ref="N93" si="133">(N92-N$30)/N$30</f>
        <v>1.8755064150629457E-3</v>
      </c>
      <c r="O93" s="2">
        <f t="shared" ref="O93" si="134">(O92-O$30)/O$30</f>
        <v>2.5548139057623783E-3</v>
      </c>
      <c r="P93" s="2">
        <f t="shared" ref="P93" si="135">(P92-P$30)/P$30</f>
        <v>3.0611163766042634E-3</v>
      </c>
      <c r="Q93" s="2">
        <f t="shared" ref="Q93:Y93" si="136">(Q92-Q$30)/Q$30</f>
        <v>3.5927034433262837E-3</v>
      </c>
      <c r="R93" s="42">
        <f t="shared" ref="R93:X93" si="137">(R92-R$30)/R$30</f>
        <v>4.087443632612227E-3</v>
      </c>
      <c r="S93" s="71">
        <f t="shared" si="136"/>
        <v>4.6090654074328963E-3</v>
      </c>
      <c r="T93" s="2">
        <f t="shared" si="137"/>
        <v>5.1596598519767622E-3</v>
      </c>
      <c r="U93" s="2">
        <f t="shared" si="136"/>
        <v>5.5569545554255808E-3</v>
      </c>
      <c r="V93" s="2">
        <f t="shared" si="137"/>
        <v>5.9802935712136756E-3</v>
      </c>
      <c r="W93" s="2">
        <f t="shared" si="136"/>
        <v>6.453868913270701E-3</v>
      </c>
      <c r="X93" s="2">
        <f t="shared" si="137"/>
        <v>6.8631674970994015E-3</v>
      </c>
      <c r="Y93" s="42">
        <f t="shared" si="136"/>
        <v>7.3015929389791843E-3</v>
      </c>
    </row>
    <row r="94" spans="3:25" x14ac:dyDescent="0.25">
      <c r="C94" s="157"/>
      <c r="D94" s="17"/>
      <c r="E94" s="17"/>
      <c r="F94" s="25"/>
      <c r="G94" s="25"/>
      <c r="H94" s="25"/>
      <c r="I94" s="25"/>
      <c r="J94" s="25"/>
      <c r="K94" s="25"/>
      <c r="L94" s="20" t="s">
        <v>47</v>
      </c>
      <c r="M94" s="25"/>
      <c r="N94" s="25"/>
      <c r="O94" s="25"/>
      <c r="P94" s="25"/>
      <c r="Q94" s="25"/>
      <c r="R94" s="55"/>
      <c r="S94" s="65"/>
      <c r="T94" s="44"/>
      <c r="U94" s="44"/>
      <c r="V94" s="44"/>
      <c r="W94" s="66"/>
      <c r="X94" s="66"/>
      <c r="Y94" s="67"/>
    </row>
    <row r="95" spans="3:25" x14ac:dyDescent="0.25">
      <c r="C95" s="157"/>
      <c r="D95" s="158"/>
      <c r="E95" s="1" t="s">
        <v>35</v>
      </c>
      <c r="F95" s="8">
        <f t="shared" ref="F95:J96" si="138">F31</f>
        <v>137.8203338985858</v>
      </c>
      <c r="G95" s="8">
        <f t="shared" si="138"/>
        <v>141.9549439155434</v>
      </c>
      <c r="H95" s="8">
        <f t="shared" si="138"/>
        <v>147.69999999999999</v>
      </c>
      <c r="I95" s="8">
        <f t="shared" si="138"/>
        <v>150.6</v>
      </c>
      <c r="J95" s="8">
        <f t="shared" si="138"/>
        <v>155.11799999999997</v>
      </c>
      <c r="K95" s="8">
        <f t="shared" ref="K95:Y95" si="139">K92*$D$31</f>
        <v>159.77153999999996</v>
      </c>
      <c r="L95" s="8">
        <f t="shared" si="139"/>
        <v>164.6634842905743</v>
      </c>
      <c r="M95" s="8">
        <f t="shared" si="139"/>
        <v>169.70923225458324</v>
      </c>
      <c r="N95" s="8">
        <f t="shared" si="139"/>
        <v>174.91411401963276</v>
      </c>
      <c r="O95" s="8">
        <f t="shared" si="139"/>
        <v>180.28369341782118</v>
      </c>
      <c r="P95" s="8">
        <f t="shared" si="139"/>
        <v>185.78598105979523</v>
      </c>
      <c r="Q95" s="8">
        <f t="shared" si="139"/>
        <v>191.46097431951057</v>
      </c>
      <c r="R95" s="8">
        <f t="shared" si="139"/>
        <v>197.30201942312647</v>
      </c>
      <c r="S95" s="8">
        <f t="shared" si="139"/>
        <v>203.3266530224991</v>
      </c>
      <c r="T95" s="8">
        <f t="shared" si="139"/>
        <v>209.54123262593711</v>
      </c>
      <c r="U95" s="8">
        <f t="shared" si="139"/>
        <v>215.91277656037374</v>
      </c>
      <c r="V95" s="8">
        <f t="shared" si="139"/>
        <v>222.48378601229075</v>
      </c>
      <c r="W95" s="8">
        <f t="shared" si="139"/>
        <v>229.2661781672283</v>
      </c>
      <c r="X95" s="8">
        <f t="shared" si="139"/>
        <v>236.24019719514942</v>
      </c>
      <c r="Y95" s="8">
        <f t="shared" si="139"/>
        <v>243.43335685692907</v>
      </c>
    </row>
    <row r="96" spans="3:25" x14ac:dyDescent="0.25">
      <c r="C96" s="157"/>
      <c r="D96" s="159"/>
      <c r="E96" s="1" t="s">
        <v>37</v>
      </c>
      <c r="F96" s="8">
        <f t="shared" si="138"/>
        <v>26.185863440731303</v>
      </c>
      <c r="G96" s="8">
        <f t="shared" si="138"/>
        <v>26.971439343953246</v>
      </c>
      <c r="H96" s="8">
        <f t="shared" si="138"/>
        <v>28.062999999999999</v>
      </c>
      <c r="I96" s="8">
        <f t="shared" si="138"/>
        <v>28.614000000000001</v>
      </c>
      <c r="J96" s="8">
        <f t="shared" si="138"/>
        <v>29.472419999999993</v>
      </c>
      <c r="K96" s="8">
        <f t="shared" ref="K96:Y96" si="140">K95*$D$32</f>
        <v>30.356592599999992</v>
      </c>
      <c r="L96" s="8">
        <f t="shared" si="140"/>
        <v>31.286062015209119</v>
      </c>
      <c r="M96" s="8">
        <f t="shared" si="140"/>
        <v>32.244754128370815</v>
      </c>
      <c r="N96" s="8">
        <f t="shared" si="140"/>
        <v>33.233681663730223</v>
      </c>
      <c r="O96" s="8">
        <f t="shared" si="140"/>
        <v>34.253901749386024</v>
      </c>
      <c r="P96" s="8">
        <f t="shared" si="140"/>
        <v>35.299336401361096</v>
      </c>
      <c r="Q96" s="8">
        <f t="shared" si="140"/>
        <v>36.37758512070701</v>
      </c>
      <c r="R96" s="50">
        <f t="shared" si="140"/>
        <v>37.487383690394026</v>
      </c>
      <c r="S96" s="69">
        <f t="shared" si="140"/>
        <v>38.63206407427483</v>
      </c>
      <c r="T96" s="8">
        <f t="shared" si="140"/>
        <v>39.812834198928051</v>
      </c>
      <c r="U96" s="8">
        <f t="shared" si="140"/>
        <v>41.023427546471012</v>
      </c>
      <c r="V96" s="8">
        <f t="shared" si="140"/>
        <v>42.271919342335245</v>
      </c>
      <c r="W96" s="8">
        <f t="shared" si="140"/>
        <v>43.560573851773377</v>
      </c>
      <c r="X96" s="8">
        <f t="shared" si="140"/>
        <v>44.885637467078389</v>
      </c>
      <c r="Y96" s="50">
        <f t="shared" si="140"/>
        <v>46.25233780281652</v>
      </c>
    </row>
    <row r="97" spans="3:26" ht="105" x14ac:dyDescent="0.25">
      <c r="C97" s="157"/>
      <c r="D97" s="23">
        <f>SUM(F97:P97)</f>
        <v>0.31544493054904876</v>
      </c>
      <c r="E97" s="22" t="s">
        <v>64</v>
      </c>
      <c r="F97" s="27">
        <f>F96-F$32</f>
        <v>0</v>
      </c>
      <c r="G97" s="27">
        <f>G96-G$32</f>
        <v>0</v>
      </c>
      <c r="H97" s="27">
        <f>H96-H$32</f>
        <v>0</v>
      </c>
      <c r="I97" s="27">
        <f t="shared" ref="I97" si="141">I96-I$32</f>
        <v>0</v>
      </c>
      <c r="J97" s="27">
        <f t="shared" ref="J97" si="142">J96-J$32</f>
        <v>0</v>
      </c>
      <c r="K97" s="27">
        <f t="shared" ref="K97" si="143">K96-K$32</f>
        <v>0</v>
      </c>
      <c r="L97" s="27">
        <f t="shared" ref="L97" si="144">L96-L$32</f>
        <v>1.8771637209120229E-2</v>
      </c>
      <c r="M97" s="27">
        <f t="shared" ref="M97" si="145">M96-M$32</f>
        <v>3.9445039030816531E-2</v>
      </c>
      <c r="N97" s="27">
        <f t="shared" ref="N97" si="146">N96-N$32</f>
        <v>6.2213301710023927E-2</v>
      </c>
      <c r="O97" s="27">
        <f t="shared" ref="O97" si="147">O96-O$32</f>
        <v>8.7289336505222082E-2</v>
      </c>
      <c r="P97" s="27">
        <f t="shared" ref="P97" si="148">P96-P$32</f>
        <v>0.10772561609386599</v>
      </c>
      <c r="Q97" s="27">
        <f t="shared" ref="Q97:Y97" si="149">Q96-Q$32</f>
        <v>0.13022601188176708</v>
      </c>
      <c r="R97" s="128">
        <f t="shared" ref="R97:X97" si="150">R96-R$32</f>
        <v>0.15260380830402198</v>
      </c>
      <c r="S97" s="72">
        <f t="shared" si="149"/>
        <v>0.17724079572212048</v>
      </c>
      <c r="T97" s="10">
        <f t="shared" si="150"/>
        <v>0.20436622201876276</v>
      </c>
      <c r="U97" s="10">
        <f t="shared" si="149"/>
        <v>0.22670553025444917</v>
      </c>
      <c r="V97" s="10">
        <f t="shared" si="150"/>
        <v>0.25129566563217764</v>
      </c>
      <c r="W97" s="10">
        <f t="shared" si="149"/>
        <v>0.27933146476922133</v>
      </c>
      <c r="X97" s="10">
        <f t="shared" si="150"/>
        <v>0.30595780846410037</v>
      </c>
      <c r="Y97" s="56">
        <f t="shared" si="149"/>
        <v>0.33526775444380519</v>
      </c>
    </row>
    <row r="98" spans="3:26" x14ac:dyDescent="0.25">
      <c r="C98" s="47"/>
      <c r="D98" s="17"/>
      <c r="E98" s="17"/>
      <c r="F98" s="17"/>
      <c r="G98" s="17"/>
      <c r="H98" s="17"/>
      <c r="I98" s="17"/>
      <c r="J98" s="17"/>
      <c r="K98" s="17"/>
      <c r="L98" s="17"/>
      <c r="M98" s="17"/>
      <c r="N98" s="17"/>
      <c r="O98" s="17"/>
      <c r="P98" s="17"/>
      <c r="Q98" s="17"/>
      <c r="R98" s="57"/>
      <c r="S98" s="65"/>
      <c r="T98" s="44"/>
      <c r="U98" s="44"/>
      <c r="V98" s="44"/>
      <c r="W98" s="66"/>
      <c r="X98" s="66"/>
      <c r="Y98" s="67"/>
    </row>
    <row r="99" spans="3:26" ht="15" customHeight="1" x14ac:dyDescent="0.25">
      <c r="C99" s="156" t="s">
        <v>65</v>
      </c>
      <c r="D99" s="153" t="s">
        <v>61</v>
      </c>
      <c r="E99" s="1"/>
      <c r="F99" s="1">
        <v>2016</v>
      </c>
      <c r="G99" s="1">
        <v>2017</v>
      </c>
      <c r="H99" s="1">
        <v>2018</v>
      </c>
      <c r="I99" s="15">
        <v>2019</v>
      </c>
      <c r="J99" s="1">
        <v>2020</v>
      </c>
      <c r="K99" s="1">
        <v>2021</v>
      </c>
      <c r="L99" s="1">
        <v>2022</v>
      </c>
      <c r="M99" s="1">
        <v>2023</v>
      </c>
      <c r="N99" s="1">
        <v>2024</v>
      </c>
      <c r="O99" s="1">
        <v>2025</v>
      </c>
      <c r="P99" s="1">
        <v>2026</v>
      </c>
      <c r="Q99" s="1">
        <v>2027</v>
      </c>
      <c r="R99" s="49">
        <v>2028</v>
      </c>
      <c r="S99" s="68">
        <v>2029</v>
      </c>
      <c r="T99" s="1">
        <v>2030</v>
      </c>
      <c r="U99" s="1">
        <v>2031</v>
      </c>
      <c r="V99" s="1">
        <v>2032</v>
      </c>
      <c r="W99" s="1">
        <v>2033</v>
      </c>
      <c r="X99" s="1">
        <v>2034</v>
      </c>
      <c r="Y99" s="49">
        <v>2035</v>
      </c>
    </row>
    <row r="100" spans="3:26" ht="15" customHeight="1" x14ac:dyDescent="0.25">
      <c r="C100" s="157"/>
      <c r="D100" s="154"/>
      <c r="E100" s="1" t="s">
        <v>50</v>
      </c>
      <c r="F100" s="8">
        <f t="shared" ref="F100:Y100" si="151">F35</f>
        <v>296.3</v>
      </c>
      <c r="G100" s="8">
        <f t="shared" si="151"/>
        <v>307.2</v>
      </c>
      <c r="H100" s="8">
        <f t="shared" si="151"/>
        <v>318.7</v>
      </c>
      <c r="I100" s="8">
        <f t="shared" si="151"/>
        <v>339.9</v>
      </c>
      <c r="J100" s="8">
        <f t="shared" si="151"/>
        <v>350.09699999999998</v>
      </c>
      <c r="K100" s="8">
        <f t="shared" si="151"/>
        <v>360.59990999999991</v>
      </c>
      <c r="L100" s="8">
        <f t="shared" si="151"/>
        <v>371.41790729999991</v>
      </c>
      <c r="M100" s="8">
        <f t="shared" si="151"/>
        <v>382.56044451899993</v>
      </c>
      <c r="N100" s="8">
        <f t="shared" si="151"/>
        <v>394.03725785456993</v>
      </c>
      <c r="O100" s="8">
        <f t="shared" si="151"/>
        <v>405.858375590207</v>
      </c>
      <c r="P100" s="8">
        <f t="shared" si="151"/>
        <v>418.03412685791329</v>
      </c>
      <c r="Q100" s="8">
        <f t="shared" si="151"/>
        <v>430.57515066365073</v>
      </c>
      <c r="R100" s="50">
        <f t="shared" si="151"/>
        <v>443.49240518356015</v>
      </c>
      <c r="S100" s="69">
        <f t="shared" si="151"/>
        <v>456.79717733906705</v>
      </c>
      <c r="T100" s="8">
        <f t="shared" si="151"/>
        <v>470.50109265923908</v>
      </c>
      <c r="U100" s="8">
        <f t="shared" si="151"/>
        <v>484.61612543901623</v>
      </c>
      <c r="V100" s="8">
        <f t="shared" si="151"/>
        <v>499.15460920218675</v>
      </c>
      <c r="W100" s="8">
        <f t="shared" si="151"/>
        <v>514.12924747825241</v>
      </c>
      <c r="X100" s="8">
        <f t="shared" si="151"/>
        <v>529.55312490259996</v>
      </c>
      <c r="Y100" s="50">
        <f t="shared" si="151"/>
        <v>545.43971864967796</v>
      </c>
    </row>
    <row r="101" spans="3:26" ht="15" customHeight="1" x14ac:dyDescent="0.25">
      <c r="C101" s="157"/>
      <c r="D101" s="154"/>
      <c r="E101" s="1" t="s">
        <v>39</v>
      </c>
      <c r="F101" s="8">
        <f>F100/0.144</f>
        <v>2057.6388888888891</v>
      </c>
      <c r="G101" s="8">
        <f t="shared" ref="G101" si="152">G100/0.144</f>
        <v>2133.3333333333335</v>
      </c>
      <c r="H101" s="8">
        <f t="shared" ref="H101" si="153">H100/0.144</f>
        <v>2213.1944444444443</v>
      </c>
      <c r="I101" s="8">
        <f t="shared" ref="I101" si="154">I100/0.144</f>
        <v>2360.4166666666665</v>
      </c>
      <c r="J101" s="8">
        <f t="shared" ref="J101" si="155">J100/0.144</f>
        <v>2431.2291666666665</v>
      </c>
      <c r="K101" s="8">
        <f t="shared" ref="K101" si="156">K100/0.144</f>
        <v>2504.1660416666664</v>
      </c>
      <c r="L101" s="8">
        <f t="shared" ref="L101" si="157">L100/0.144</f>
        <v>2579.2910229166664</v>
      </c>
      <c r="M101" s="8">
        <f t="shared" ref="M101" si="158">M100/0.144</f>
        <v>2656.6697536041665</v>
      </c>
      <c r="N101" s="8">
        <f t="shared" ref="N101" si="159">N100/0.144</f>
        <v>2736.3698462122916</v>
      </c>
      <c r="O101" s="8">
        <f t="shared" ref="O101" si="160">O100/0.144</f>
        <v>2818.4609415986602</v>
      </c>
      <c r="P101" s="8">
        <f t="shared" ref="P101" si="161">P100/0.144</f>
        <v>2903.0147698466203</v>
      </c>
      <c r="Q101" s="8">
        <f t="shared" ref="Q101:Y101" si="162">Q100/0.144</f>
        <v>2990.1052129420191</v>
      </c>
      <c r="R101" s="50">
        <f t="shared" ref="R101:X101" si="163">R100/0.144</f>
        <v>3079.8083693302792</v>
      </c>
      <c r="S101" s="69">
        <f t="shared" si="162"/>
        <v>3172.202620410188</v>
      </c>
      <c r="T101" s="8">
        <f t="shared" si="163"/>
        <v>3267.3686990224937</v>
      </c>
      <c r="U101" s="8">
        <f t="shared" si="162"/>
        <v>3365.3897599931684</v>
      </c>
      <c r="V101" s="8">
        <f t="shared" si="163"/>
        <v>3466.3514527929638</v>
      </c>
      <c r="W101" s="8">
        <f t="shared" si="162"/>
        <v>3570.3419963767533</v>
      </c>
      <c r="X101" s="8">
        <f t="shared" si="163"/>
        <v>3677.4522562680554</v>
      </c>
      <c r="Y101" s="50">
        <f t="shared" si="162"/>
        <v>3787.7758239560972</v>
      </c>
    </row>
    <row r="102" spans="3:26" ht="30" x14ac:dyDescent="0.25">
      <c r="C102" s="157"/>
      <c r="D102" s="154"/>
      <c r="E102" s="11" t="s">
        <v>62</v>
      </c>
      <c r="F102" s="51">
        <f>F101/$D$29</f>
        <v>6111.6778464254203</v>
      </c>
      <c r="G102" s="51">
        <f>G101/$D$29</f>
        <v>6336.5083848190652</v>
      </c>
      <c r="H102" s="51">
        <f>H101/$D$29</f>
        <v>6573.7149161518091</v>
      </c>
      <c r="I102" s="51">
        <v>7000</v>
      </c>
      <c r="J102" s="28">
        <f>J101/$D$29</f>
        <v>7221.33</v>
      </c>
      <c r="K102" s="28">
        <f>K101/$D$29</f>
        <v>7437.9698999999991</v>
      </c>
      <c r="L102" s="52">
        <f t="shared" ref="L102:Y102" si="164">L101/($D$29*(1-W11))</f>
        <v>7665.7084220532315</v>
      </c>
      <c r="M102" s="52">
        <f t="shared" si="164"/>
        <v>7900.2845451391058</v>
      </c>
      <c r="N102" s="52">
        <f t="shared" si="164"/>
        <v>8141.9032479434482</v>
      </c>
      <c r="O102" s="52">
        <f t="shared" si="164"/>
        <v>8390.7756623511686</v>
      </c>
      <c r="P102" s="52">
        <f t="shared" si="164"/>
        <v>8645.3609432581961</v>
      </c>
      <c r="Q102" s="52">
        <f t="shared" si="164"/>
        <v>8907.585651129597</v>
      </c>
      <c r="R102" s="53">
        <f t="shared" si="164"/>
        <v>9177.1650636583836</v>
      </c>
      <c r="S102" s="70">
        <f t="shared" si="164"/>
        <v>9454.8330470278524</v>
      </c>
      <c r="T102" s="52">
        <f t="shared" si="164"/>
        <v>9740.8322246098905</v>
      </c>
      <c r="U102" s="52">
        <f t="shared" si="164"/>
        <v>10033.574753265242</v>
      </c>
      <c r="V102" s="52">
        <f t="shared" si="164"/>
        <v>10335.099610402802</v>
      </c>
      <c r="W102" s="52">
        <f t="shared" si="164"/>
        <v>10645.876904867455</v>
      </c>
      <c r="X102" s="52">
        <f t="shared" si="164"/>
        <v>10964.945362484503</v>
      </c>
      <c r="Y102" s="53">
        <f t="shared" si="164"/>
        <v>11293.58589086362</v>
      </c>
    </row>
    <row r="103" spans="3:26" ht="45" x14ac:dyDescent="0.25">
      <c r="C103" s="157"/>
      <c r="D103" s="155"/>
      <c r="E103" s="24" t="s">
        <v>63</v>
      </c>
      <c r="F103" s="54">
        <f>0</f>
        <v>0</v>
      </c>
      <c r="G103" s="54">
        <f>0</f>
        <v>0</v>
      </c>
      <c r="H103" s="54">
        <f>0</f>
        <v>0</v>
      </c>
      <c r="I103" s="54">
        <f>0</f>
        <v>0</v>
      </c>
      <c r="J103" s="2">
        <f>(J102-J$30)/J$30</f>
        <v>0</v>
      </c>
      <c r="K103" s="2">
        <f t="shared" ref="K103" si="165">(K102-K$30)/K$30</f>
        <v>-1.2227727646127316E-16</v>
      </c>
      <c r="L103" s="2">
        <f t="shared" ref="L103" si="166">(L102-L$30)/L$30</f>
        <v>6.0036021612958697E-4</v>
      </c>
      <c r="M103" s="2">
        <f t="shared" ref="M103" si="167">(M102-M$30)/M$30</f>
        <v>1.1839242910547561E-3</v>
      </c>
      <c r="N103" s="2">
        <f t="shared" ref="N103" si="168">(N102-N$30)/N$30</f>
        <v>1.7511429584900382E-3</v>
      </c>
      <c r="O103" s="2">
        <f t="shared" ref="O103" si="169">(O102-O$30)/O$30</f>
        <v>2.3024559383063511E-3</v>
      </c>
      <c r="P103" s="2">
        <f t="shared" ref="P103" si="170">(P102-P$30)/P$30</f>
        <v>2.6343739070900283E-3</v>
      </c>
      <c r="Q103" s="2">
        <f t="shared" ref="Q103:Y103" si="171">(Q102-Q$30)/Q$30</f>
        <v>2.9568347516780343E-3</v>
      </c>
      <c r="R103" s="42">
        <f t="shared" ref="R103:X103" si="172">(R102-R$30)/R$30</f>
        <v>3.2139295773998908E-3</v>
      </c>
      <c r="S103" s="71">
        <f t="shared" si="171"/>
        <v>3.4636623388797998E-3</v>
      </c>
      <c r="T103" s="2">
        <f t="shared" si="172"/>
        <v>3.7062403133700035E-3</v>
      </c>
      <c r="U103" s="2">
        <f t="shared" si="171"/>
        <v>3.7580171662264655E-3</v>
      </c>
      <c r="V103" s="2">
        <f t="shared" si="172"/>
        <v>3.8082910664320991E-3</v>
      </c>
      <c r="W103" s="2">
        <f t="shared" si="171"/>
        <v>3.8765911226761401E-3</v>
      </c>
      <c r="X103" s="2">
        <f t="shared" si="172"/>
        <v>3.8484072832561437E-3</v>
      </c>
      <c r="Y103" s="42">
        <f t="shared" si="171"/>
        <v>3.8210458463766844E-3</v>
      </c>
    </row>
    <row r="104" spans="3:26" x14ac:dyDescent="0.25">
      <c r="C104" s="157"/>
      <c r="D104" s="17"/>
      <c r="E104" s="17"/>
      <c r="F104" s="25"/>
      <c r="G104" s="25"/>
      <c r="H104" s="25"/>
      <c r="I104" s="25"/>
      <c r="J104" s="25"/>
      <c r="K104" s="25"/>
      <c r="L104" s="20" t="s">
        <v>47</v>
      </c>
      <c r="M104" s="25"/>
      <c r="N104" s="25"/>
      <c r="O104" s="25"/>
      <c r="P104" s="25"/>
      <c r="Q104" s="25"/>
      <c r="R104" s="55"/>
      <c r="S104" s="65"/>
      <c r="T104" s="44"/>
      <c r="U104" s="44"/>
      <c r="V104" s="44"/>
      <c r="W104" s="66"/>
      <c r="X104" s="66"/>
      <c r="Y104" s="67"/>
    </row>
    <row r="105" spans="3:26" x14ac:dyDescent="0.25">
      <c r="C105" s="157"/>
      <c r="D105" s="158" t="s">
        <v>66</v>
      </c>
      <c r="E105" s="1" t="s">
        <v>35</v>
      </c>
      <c r="F105" s="8">
        <f t="shared" ref="F105:J106" si="173">F31</f>
        <v>137.8203338985858</v>
      </c>
      <c r="G105" s="8">
        <f t="shared" si="173"/>
        <v>141.9549439155434</v>
      </c>
      <c r="H105" s="8">
        <f t="shared" si="173"/>
        <v>147.69999999999999</v>
      </c>
      <c r="I105" s="8">
        <f t="shared" si="173"/>
        <v>150.6</v>
      </c>
      <c r="J105" s="8">
        <f t="shared" si="173"/>
        <v>155.11799999999997</v>
      </c>
      <c r="K105" s="8">
        <f t="shared" ref="K105:Y105" si="174">K102*$D$31</f>
        <v>159.77153999999996</v>
      </c>
      <c r="L105" s="8">
        <f t="shared" si="174"/>
        <v>164.6634842905743</v>
      </c>
      <c r="M105" s="8">
        <f t="shared" si="174"/>
        <v>169.70230387932523</v>
      </c>
      <c r="N105" s="8">
        <f t="shared" si="174"/>
        <v>174.89240181718486</v>
      </c>
      <c r="O105" s="8">
        <f t="shared" si="174"/>
        <v>180.23831332906659</v>
      </c>
      <c r="P105" s="8">
        <f t="shared" si="174"/>
        <v>185.70694024457055</v>
      </c>
      <c r="Q105" s="8">
        <f t="shared" si="174"/>
        <v>191.33966610470932</v>
      </c>
      <c r="R105" s="8">
        <f t="shared" si="174"/>
        <v>197.13037492325665</v>
      </c>
      <c r="S105" s="8">
        <f t="shared" si="174"/>
        <v>203.09483053521529</v>
      </c>
      <c r="T105" s="8">
        <f t="shared" si="174"/>
        <v>209.23824461934808</v>
      </c>
      <c r="U105" s="8">
        <f t="shared" si="174"/>
        <v>215.52650946252251</v>
      </c>
      <c r="V105" s="8">
        <f t="shared" si="174"/>
        <v>222.00342338135241</v>
      </c>
      <c r="W105" s="8">
        <f t="shared" si="174"/>
        <v>228.67908456326325</v>
      </c>
      <c r="X105" s="8">
        <f t="shared" si="174"/>
        <v>235.53284432893537</v>
      </c>
      <c r="Y105" s="8">
        <f t="shared" si="174"/>
        <v>242.59221725346754</v>
      </c>
    </row>
    <row r="106" spans="3:26" x14ac:dyDescent="0.25">
      <c r="C106" s="157"/>
      <c r="D106" s="159"/>
      <c r="E106" s="1" t="s">
        <v>37</v>
      </c>
      <c r="F106" s="8">
        <f t="shared" si="173"/>
        <v>26.185863440731303</v>
      </c>
      <c r="G106" s="8">
        <f t="shared" si="173"/>
        <v>26.971439343953246</v>
      </c>
      <c r="H106" s="8">
        <f t="shared" si="173"/>
        <v>28.062999999999999</v>
      </c>
      <c r="I106" s="8">
        <f t="shared" si="173"/>
        <v>28.614000000000001</v>
      </c>
      <c r="J106" s="8">
        <f t="shared" si="173"/>
        <v>29.472419999999993</v>
      </c>
      <c r="K106" s="8">
        <f t="shared" ref="K106:Y106" si="175">K105*$D$32</f>
        <v>30.356592599999992</v>
      </c>
      <c r="L106" s="8">
        <f t="shared" si="175"/>
        <v>31.286062015209119</v>
      </c>
      <c r="M106" s="8">
        <f t="shared" si="175"/>
        <v>32.243437737071794</v>
      </c>
      <c r="N106" s="8">
        <f t="shared" si="175"/>
        <v>33.229556345265124</v>
      </c>
      <c r="O106" s="8">
        <f t="shared" si="175"/>
        <v>34.245279532522652</v>
      </c>
      <c r="P106" s="8">
        <f t="shared" si="175"/>
        <v>35.284318646468407</v>
      </c>
      <c r="Q106" s="8">
        <f t="shared" si="175"/>
        <v>36.354536559894768</v>
      </c>
      <c r="R106" s="50">
        <f t="shared" si="175"/>
        <v>37.454771235418768</v>
      </c>
      <c r="S106" s="69">
        <f t="shared" si="175"/>
        <v>38.58801780169091</v>
      </c>
      <c r="T106" s="8">
        <f t="shared" si="175"/>
        <v>39.755266477676138</v>
      </c>
      <c r="U106" s="8">
        <f t="shared" si="175"/>
        <v>40.950036797879278</v>
      </c>
      <c r="V106" s="8">
        <f t="shared" si="175"/>
        <v>42.180650442456958</v>
      </c>
      <c r="W106" s="8">
        <f t="shared" si="175"/>
        <v>43.449026067020014</v>
      </c>
      <c r="X106" s="8">
        <f t="shared" si="175"/>
        <v>44.751240422497723</v>
      </c>
      <c r="Y106" s="50">
        <f t="shared" si="175"/>
        <v>46.092521278158834</v>
      </c>
      <c r="Z106" s="135"/>
    </row>
    <row r="107" spans="3:26" ht="105" x14ac:dyDescent="0.25">
      <c r="C107" s="157"/>
      <c r="D107" s="23">
        <f>SUM(F107:P107)</f>
        <v>0.28636324902886656</v>
      </c>
      <c r="E107" s="22" t="s">
        <v>64</v>
      </c>
      <c r="F107" s="27">
        <f>F106-F$32</f>
        <v>0</v>
      </c>
      <c r="G107" s="27">
        <f>G106-G$32</f>
        <v>0</v>
      </c>
      <c r="H107" s="27">
        <f>H106-H$32</f>
        <v>0</v>
      </c>
      <c r="I107" s="27">
        <f t="shared" ref="I107" si="176">I106-I$32</f>
        <v>0</v>
      </c>
      <c r="J107" s="27">
        <f t="shared" ref="J107" si="177">J106-J$32</f>
        <v>0</v>
      </c>
      <c r="K107" s="27">
        <f t="shared" ref="K107" si="178">K106-K$32</f>
        <v>0</v>
      </c>
      <c r="L107" s="27">
        <f t="shared" ref="L107" si="179">L106-L$32</f>
        <v>1.8771637209120229E-2</v>
      </c>
      <c r="M107" s="27">
        <f t="shared" ref="M107" si="180">M106-M$32</f>
        <v>3.8128647731795695E-2</v>
      </c>
      <c r="N107" s="27">
        <f t="shared" ref="N107" si="181">N106-N$32</f>
        <v>5.8087983244924146E-2</v>
      </c>
      <c r="O107" s="27">
        <f t="shared" ref="O107" si="182">O106-O$32</f>
        <v>7.8667119641849581E-2</v>
      </c>
      <c r="P107" s="27">
        <f t="shared" ref="P107" si="183">P106-P$32</f>
        <v>9.2707861201176911E-2</v>
      </c>
      <c r="Q107" s="27">
        <f t="shared" ref="Q107:Y107" si="184">Q106-Q$32</f>
        <v>0.10717745106952492</v>
      </c>
      <c r="R107" s="128">
        <f t="shared" ref="R107:X107" si="185">R106-R$32</f>
        <v>0.11999135332876421</v>
      </c>
      <c r="S107" s="72">
        <f t="shared" si="184"/>
        <v>0.13319452313820079</v>
      </c>
      <c r="T107" s="10">
        <f t="shared" si="185"/>
        <v>0.14679850076684886</v>
      </c>
      <c r="U107" s="10">
        <f t="shared" si="184"/>
        <v>0.15331478166271495</v>
      </c>
      <c r="V107" s="10">
        <f t="shared" si="185"/>
        <v>0.16002676575389074</v>
      </c>
      <c r="W107" s="10">
        <f t="shared" si="184"/>
        <v>0.16778368001585875</v>
      </c>
      <c r="X107" s="10">
        <f t="shared" si="185"/>
        <v>0.17156076388343422</v>
      </c>
      <c r="Y107" s="56">
        <f t="shared" si="184"/>
        <v>0.17545122978611971</v>
      </c>
    </row>
    <row r="108" spans="3:26" ht="15.75" thickBot="1" x14ac:dyDescent="0.3">
      <c r="C108" s="58"/>
      <c r="D108" s="59"/>
      <c r="E108" s="59"/>
      <c r="F108" s="59"/>
      <c r="G108" s="59"/>
      <c r="H108" s="59"/>
      <c r="I108" s="59"/>
      <c r="J108" s="59"/>
      <c r="K108" s="59"/>
      <c r="L108" s="59"/>
      <c r="M108" s="59"/>
      <c r="N108" s="59"/>
      <c r="O108" s="59"/>
      <c r="P108" s="59"/>
      <c r="Q108" s="59"/>
      <c r="R108" s="60"/>
      <c r="S108" s="73"/>
      <c r="T108" s="74"/>
      <c r="U108" s="74"/>
      <c r="V108" s="74"/>
      <c r="W108" s="75"/>
      <c r="X108" s="75"/>
      <c r="Y108" s="76"/>
    </row>
  </sheetData>
  <mergeCells count="29">
    <mergeCell ref="F5:F7"/>
    <mergeCell ref="B3:B7"/>
    <mergeCell ref="B2:D2"/>
    <mergeCell ref="H3:M3"/>
    <mergeCell ref="N3:S3"/>
    <mergeCell ref="F2:S2"/>
    <mergeCell ref="C77:J77"/>
    <mergeCell ref="C79:C87"/>
    <mergeCell ref="D79:D83"/>
    <mergeCell ref="D85:D86"/>
    <mergeCell ref="F8:F10"/>
    <mergeCell ref="D55:D61"/>
    <mergeCell ref="C65:C73"/>
    <mergeCell ref="D65:D71"/>
    <mergeCell ref="B28:B38"/>
    <mergeCell ref="C28:R28"/>
    <mergeCell ref="B41:B74"/>
    <mergeCell ref="C41:J41"/>
    <mergeCell ref="C42:D43"/>
    <mergeCell ref="C45:C53"/>
    <mergeCell ref="D45:D51"/>
    <mergeCell ref="C55:C63"/>
    <mergeCell ref="C34:D38"/>
    <mergeCell ref="D89:D93"/>
    <mergeCell ref="C89:C97"/>
    <mergeCell ref="D95:D96"/>
    <mergeCell ref="C99:C107"/>
    <mergeCell ref="D99:D103"/>
    <mergeCell ref="D105:D10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1BF71-3B35-45E8-877F-A90566327766}">
  <dimension ref="B2:Q13"/>
  <sheetViews>
    <sheetView zoomScale="70" zoomScaleNormal="70" workbookViewId="0">
      <selection activeCell="B10" sqref="B10:B13"/>
    </sheetView>
  </sheetViews>
  <sheetFormatPr baseColWidth="10" defaultColWidth="11.42578125" defaultRowHeight="15" x14ac:dyDescent="0.25"/>
  <sheetData>
    <row r="2" spans="2:17" x14ac:dyDescent="0.25">
      <c r="B2" s="201" t="s">
        <v>67</v>
      </c>
      <c r="C2" s="201"/>
      <c r="D2" s="201"/>
      <c r="E2" s="201"/>
      <c r="F2" s="201"/>
      <c r="G2" s="201"/>
      <c r="H2" s="201"/>
    </row>
    <row r="3" spans="2:17" x14ac:dyDescent="0.25">
      <c r="B3" s="201"/>
      <c r="C3" s="201"/>
      <c r="D3" s="201"/>
      <c r="E3" s="201"/>
      <c r="F3" s="201"/>
      <c r="G3" s="201"/>
      <c r="H3" s="201"/>
    </row>
    <row r="4" spans="2:17" x14ac:dyDescent="0.25">
      <c r="B4" s="201"/>
      <c r="C4" s="201"/>
      <c r="D4" s="201"/>
      <c r="E4" s="201"/>
      <c r="F4" s="201"/>
      <c r="G4" s="201"/>
      <c r="H4" s="201"/>
    </row>
    <row r="5" spans="2:17" x14ac:dyDescent="0.25">
      <c r="B5" s="201"/>
      <c r="C5" s="201"/>
      <c r="D5" s="201"/>
      <c r="E5" s="201"/>
      <c r="F5" s="201"/>
      <c r="G5" s="201"/>
      <c r="H5" s="201"/>
    </row>
    <row r="6" spans="2:17" x14ac:dyDescent="0.25">
      <c r="B6" s="201"/>
      <c r="C6" s="201"/>
      <c r="D6" s="201"/>
      <c r="E6" s="201"/>
      <c r="F6" s="201"/>
      <c r="G6" s="201"/>
      <c r="H6" s="201"/>
    </row>
    <row r="7" spans="2:17" x14ac:dyDescent="0.25">
      <c r="B7" s="201"/>
      <c r="C7" s="201"/>
      <c r="D7" s="201"/>
      <c r="E7" s="201"/>
      <c r="F7" s="201"/>
      <c r="G7" s="201"/>
      <c r="H7" s="201"/>
    </row>
    <row r="9" spans="2:17" x14ac:dyDescent="0.25">
      <c r="B9" s="93"/>
      <c r="C9" s="204" t="s">
        <v>68</v>
      </c>
      <c r="D9" s="204"/>
      <c r="E9" s="204"/>
      <c r="F9" s="204"/>
      <c r="G9" s="204"/>
      <c r="H9" s="204"/>
      <c r="I9" s="204"/>
      <c r="J9" s="204"/>
      <c r="K9" s="202" t="s">
        <v>69</v>
      </c>
      <c r="L9" s="203"/>
      <c r="M9" s="203"/>
      <c r="N9" s="203"/>
      <c r="O9" s="203"/>
      <c r="P9" s="203"/>
      <c r="Q9" s="203"/>
    </row>
    <row r="10" spans="2:17" x14ac:dyDescent="0.25">
      <c r="B10" s="38" t="s">
        <v>2</v>
      </c>
      <c r="C10" s="1">
        <v>2021</v>
      </c>
      <c r="D10" s="1">
        <v>2022</v>
      </c>
      <c r="E10" s="1">
        <v>2023</v>
      </c>
      <c r="F10" s="1">
        <v>2024</v>
      </c>
      <c r="G10" s="1">
        <v>2025</v>
      </c>
      <c r="H10" s="1">
        <v>2026</v>
      </c>
      <c r="I10" s="1">
        <v>2027</v>
      </c>
      <c r="J10" s="1">
        <v>2028</v>
      </c>
      <c r="K10" s="91">
        <v>2029</v>
      </c>
      <c r="L10" s="91">
        <v>2030</v>
      </c>
      <c r="M10" s="91">
        <v>2031</v>
      </c>
      <c r="N10" s="91">
        <v>2032</v>
      </c>
      <c r="O10" s="91">
        <v>2033</v>
      </c>
      <c r="P10" s="91">
        <v>2034</v>
      </c>
      <c r="Q10" s="91">
        <v>2035</v>
      </c>
    </row>
    <row r="11" spans="2:17" x14ac:dyDescent="0.25">
      <c r="B11" s="38" t="s">
        <v>70</v>
      </c>
      <c r="C11" s="90">
        <f>'IMPACT banques GSF ROE+'!K83</f>
        <v>-1.2227727646127316E-16</v>
      </c>
      <c r="D11" s="90">
        <f>'IMPACT banques GSF ROE+'!L83</f>
        <v>6.0036021612958697E-4</v>
      </c>
      <c r="E11" s="90">
        <f>'IMPACT banques GSF ROE+'!M83</f>
        <v>1.283197884667643E-3</v>
      </c>
      <c r="F11" s="90">
        <f>'IMPACT banques GSF ROE+'!N83</f>
        <v>2.0628761632014141E-3</v>
      </c>
      <c r="G11" s="90">
        <f>'IMPACT banques GSF ROE+'!O83</f>
        <v>2.9562016260209815E-3</v>
      </c>
      <c r="H11" s="90">
        <f>'IMPACT banques GSF ROE+'!P83</f>
        <v>3.7784754381782024E-3</v>
      </c>
      <c r="I11" s="90">
        <f>'IMPACT banques GSF ROE+'!Q83</f>
        <v>4.7284551691224143E-3</v>
      </c>
      <c r="J11" s="90">
        <f>'IMPACT banques GSF ROE+'!R83</f>
        <v>5.7514161640298926E-3</v>
      </c>
      <c r="K11" s="92">
        <f>'IMPACT banques GSF ROE+'!S83</f>
        <v>6.7912090317413017E-3</v>
      </c>
      <c r="L11" s="92">
        <f>'IMPACT banques GSF ROE+'!T83</f>
        <v>7.8448275083166045E-3</v>
      </c>
      <c r="M11" s="92">
        <f>'IMPACT banques GSF ROE+'!U83</f>
        <v>8.7225331306128341E-3</v>
      </c>
      <c r="N11" s="92">
        <f>'IMPACT banques GSF ROE+'!V83</f>
        <v>9.5786608018686506E-3</v>
      </c>
      <c r="O11" s="92">
        <f>'IMPACT banques GSF ROE+'!W83</f>
        <v>1.0492780998549851E-2</v>
      </c>
      <c r="P11" s="92">
        <f>'IMPACT banques GSF ROE+'!X83</f>
        <v>1.1345459489332816E-2</v>
      </c>
      <c r="Q11" s="92">
        <f>'IMPACT banques GSF ROE+'!Y83</f>
        <v>1.2218851315753501E-2</v>
      </c>
    </row>
    <row r="12" spans="2:17" x14ac:dyDescent="0.25">
      <c r="B12" s="38" t="s">
        <v>71</v>
      </c>
      <c r="C12" s="90">
        <f>'IMPACT banques GSF ROE+'!K93</f>
        <v>-1.2227727646127316E-16</v>
      </c>
      <c r="D12" s="90">
        <f>'IMPACT banques GSF ROE+'!L93</f>
        <v>6.0036021612958697E-4</v>
      </c>
      <c r="E12" s="90">
        <f>'IMPACT banques GSF ROE+'!M93</f>
        <v>1.2247992690085894E-3</v>
      </c>
      <c r="F12" s="90">
        <f>'IMPACT banques GSF ROE+'!N93</f>
        <v>1.8755064150629457E-3</v>
      </c>
      <c r="G12" s="90">
        <f>'IMPACT banques GSF ROE+'!O93</f>
        <v>2.5548139057623783E-3</v>
      </c>
      <c r="H12" s="90">
        <f>'IMPACT banques GSF ROE+'!P93</f>
        <v>3.0611163766042634E-3</v>
      </c>
      <c r="I12" s="90">
        <f>'IMPACT banques GSF ROE+'!Q93</f>
        <v>3.5927034433262837E-3</v>
      </c>
      <c r="J12" s="90">
        <f>'IMPACT banques GSF ROE+'!R93</f>
        <v>4.087443632612227E-3</v>
      </c>
      <c r="K12" s="92">
        <f>'IMPACT banques GSF ROE+'!S93</f>
        <v>4.6090654074328963E-3</v>
      </c>
      <c r="L12" s="92">
        <f>'IMPACT banques GSF ROE+'!T93</f>
        <v>5.1596598519767622E-3</v>
      </c>
      <c r="M12" s="92">
        <f>'IMPACT banques GSF ROE+'!U93</f>
        <v>5.5569545554255808E-3</v>
      </c>
      <c r="N12" s="92">
        <f>'IMPACT banques GSF ROE+'!V93</f>
        <v>5.9802935712136756E-3</v>
      </c>
      <c r="O12" s="92">
        <f>'IMPACT banques GSF ROE+'!W93</f>
        <v>6.453868913270701E-3</v>
      </c>
      <c r="P12" s="92">
        <f>'IMPACT banques GSF ROE+'!X93</f>
        <v>6.8631674970994015E-3</v>
      </c>
      <c r="Q12" s="92">
        <f>'IMPACT banques GSF ROE+'!Y93</f>
        <v>7.3015929389791843E-3</v>
      </c>
    </row>
    <row r="13" spans="2:17" x14ac:dyDescent="0.25">
      <c r="B13" s="38" t="s">
        <v>25</v>
      </c>
      <c r="C13" s="90">
        <f>'IMPACT banques GSF ROE+'!K103</f>
        <v>-1.2227727646127316E-16</v>
      </c>
      <c r="D13" s="90">
        <f>'IMPACT banques GSF ROE+'!L103</f>
        <v>6.0036021612958697E-4</v>
      </c>
      <c r="E13" s="90">
        <f>'IMPACT banques GSF ROE+'!M103</f>
        <v>1.1839242910547561E-3</v>
      </c>
      <c r="F13" s="90">
        <f>'IMPACT banques GSF ROE+'!N103</f>
        <v>1.7511429584900382E-3</v>
      </c>
      <c r="G13" s="90">
        <f>'IMPACT banques GSF ROE+'!O103</f>
        <v>2.3024559383063511E-3</v>
      </c>
      <c r="H13" s="90">
        <f>'IMPACT banques GSF ROE+'!P103</f>
        <v>2.6343739070900283E-3</v>
      </c>
      <c r="I13" s="90">
        <f>'IMPACT banques GSF ROE+'!Q103</f>
        <v>2.9568347516780343E-3</v>
      </c>
      <c r="J13" s="90">
        <f>'IMPACT banques GSF ROE+'!R103</f>
        <v>3.2139295773998908E-3</v>
      </c>
      <c r="K13" s="92">
        <f>'IMPACT banques GSF ROE+'!S103</f>
        <v>3.4636623388797998E-3</v>
      </c>
      <c r="L13" s="92">
        <f>'IMPACT banques GSF ROE+'!T103</f>
        <v>3.7062403133700035E-3</v>
      </c>
      <c r="M13" s="92">
        <f>'IMPACT banques GSF ROE+'!U103</f>
        <v>3.7580171662264655E-3</v>
      </c>
      <c r="N13" s="92">
        <f>'IMPACT banques GSF ROE+'!V103</f>
        <v>3.8082910664320991E-3</v>
      </c>
      <c r="O13" s="92">
        <f>'IMPACT banques GSF ROE+'!W103</f>
        <v>3.8765911226761401E-3</v>
      </c>
      <c r="P13" s="92">
        <f>'IMPACT banques GSF ROE+'!X103</f>
        <v>3.8484072832561437E-3</v>
      </c>
      <c r="Q13" s="92">
        <f>'IMPACT banques GSF ROE+'!Y103</f>
        <v>3.8210458463766844E-3</v>
      </c>
    </row>
  </sheetData>
  <mergeCells count="3">
    <mergeCell ref="B2:H7"/>
    <mergeCell ref="K9:Q9"/>
    <mergeCell ref="C9:J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FAD58-4454-4A57-A386-F0A40922FCFF}">
  <dimension ref="A3:R30"/>
  <sheetViews>
    <sheetView workbookViewId="0">
      <selection activeCell="B22" sqref="B22"/>
    </sheetView>
  </sheetViews>
  <sheetFormatPr baseColWidth="10" defaultColWidth="11.42578125" defaultRowHeight="15" x14ac:dyDescent="0.25"/>
  <cols>
    <col min="1" max="1" width="19.140625" customWidth="1"/>
    <col min="2" max="2" width="21" customWidth="1"/>
  </cols>
  <sheetData>
    <row r="3" spans="1:18" x14ac:dyDescent="0.25">
      <c r="B3" s="1"/>
      <c r="C3" s="1">
        <v>2022</v>
      </c>
      <c r="D3" s="1">
        <v>2023</v>
      </c>
      <c r="E3" s="1">
        <v>2024</v>
      </c>
      <c r="F3" s="1">
        <v>2025</v>
      </c>
      <c r="G3" s="1">
        <v>2026</v>
      </c>
      <c r="H3" s="1">
        <v>2027</v>
      </c>
      <c r="I3" s="1">
        <v>2028</v>
      </c>
      <c r="J3" s="1">
        <v>2029</v>
      </c>
      <c r="K3" s="1">
        <v>2030</v>
      </c>
      <c r="L3" s="1">
        <v>2031</v>
      </c>
      <c r="M3" s="1">
        <v>2032</v>
      </c>
      <c r="N3" s="1">
        <v>2033</v>
      </c>
      <c r="O3" s="1">
        <v>2034</v>
      </c>
      <c r="P3" s="1">
        <v>2035</v>
      </c>
    </row>
    <row r="4" spans="1:18" ht="30" x14ac:dyDescent="0.25">
      <c r="B4" s="11" t="s">
        <v>72</v>
      </c>
      <c r="C4" s="103">
        <v>100</v>
      </c>
      <c r="D4" s="103">
        <f>C4*'IMPACT banques GSF ROE+'!$D$5</f>
        <v>103</v>
      </c>
      <c r="E4" s="103">
        <f>D4*'IMPACT banques GSF ROE+'!$D$5</f>
        <v>106.09</v>
      </c>
      <c r="F4" s="103">
        <f>E4*'IMPACT banques GSF ROE+'!$D$5</f>
        <v>109.2727</v>
      </c>
      <c r="G4" s="103">
        <f>F4*'IMPACT banques GSF ROE+'!$D$5</f>
        <v>112.550881</v>
      </c>
      <c r="H4" s="103">
        <f>G4*'IMPACT banques GSF ROE+'!$D$5</f>
        <v>115.92740743</v>
      </c>
      <c r="I4" s="103">
        <f>H4*'IMPACT banques GSF ROE+'!$D$5</f>
        <v>119.4052296529</v>
      </c>
      <c r="J4" s="103">
        <f>I4*'IMPACT banques GSF ROE+'!$D$5</f>
        <v>122.987386542487</v>
      </c>
      <c r="K4" s="103">
        <f>J4*'IMPACT banques GSF ROE+'!$D$5</f>
        <v>126.67700813876162</v>
      </c>
      <c r="L4" s="103">
        <f>K4*'IMPACT banques GSF ROE+'!$D$5</f>
        <v>130.47731838292447</v>
      </c>
      <c r="M4" s="103">
        <f>L4*'IMPACT banques GSF ROE+'!$D$5</f>
        <v>134.39163793441222</v>
      </c>
      <c r="N4" s="103">
        <f>M4*'IMPACT banques GSF ROE+'!$D$5</f>
        <v>138.4233870724446</v>
      </c>
      <c r="O4" s="103">
        <f>N4*'IMPACT banques GSF ROE+'!$D$5</f>
        <v>142.57608868461793</v>
      </c>
      <c r="P4" s="103">
        <f>O4*'IMPACT banques GSF ROE+'!$D$5</f>
        <v>146.85337134515646</v>
      </c>
    </row>
    <row r="5" spans="1:18" ht="45" x14ac:dyDescent="0.25">
      <c r="B5" s="11" t="s">
        <v>73</v>
      </c>
      <c r="C5" s="103">
        <f>C4*'IMPACT banques GSF ROE+'!$D$6</f>
        <v>12</v>
      </c>
      <c r="D5" s="103">
        <f>D4*'IMPACT banques GSF ROE+'!$D$6</f>
        <v>12.36</v>
      </c>
      <c r="E5" s="103">
        <f>E4*'IMPACT banques GSF ROE+'!$D$6</f>
        <v>12.7308</v>
      </c>
      <c r="F5" s="103">
        <f>F4*'IMPACT banques GSF ROE+'!$D$6</f>
        <v>13.112724</v>
      </c>
      <c r="G5" s="103">
        <f>G4*'IMPACT banques GSF ROE+'!$D$6</f>
        <v>13.506105720000001</v>
      </c>
      <c r="H5" s="103">
        <f>H4*'IMPACT banques GSF ROE+'!$D$6</f>
        <v>13.9112888916</v>
      </c>
      <c r="I5" s="103">
        <f>I4*'IMPACT banques GSF ROE+'!$D$6</f>
        <v>14.328627558348</v>
      </c>
      <c r="J5" s="103">
        <f>J4*'IMPACT banques GSF ROE+'!$D$6</f>
        <v>14.75848638509844</v>
      </c>
      <c r="K5" s="103">
        <f>K4*'IMPACT banques GSF ROE+'!$D$6</f>
        <v>15.201240976651395</v>
      </c>
      <c r="L5" s="103">
        <f>L4*'IMPACT banques GSF ROE+'!$D$6</f>
        <v>15.657278205950936</v>
      </c>
      <c r="M5" s="103">
        <f>M4*'IMPACT banques GSF ROE+'!$D$6</f>
        <v>16.126996552129466</v>
      </c>
      <c r="N5" s="103">
        <f>N4*'IMPACT banques GSF ROE+'!$D$6</f>
        <v>16.610806448693353</v>
      </c>
      <c r="O5" s="103">
        <f>O4*'IMPACT banques GSF ROE+'!$D$6</f>
        <v>17.109130642154152</v>
      </c>
      <c r="P5" s="103">
        <f>P4*'IMPACT banques GSF ROE+'!$D$6</f>
        <v>17.622404561418776</v>
      </c>
    </row>
    <row r="6" spans="1:18" x14ac:dyDescent="0.25">
      <c r="A6" s="104"/>
      <c r="B6" s="104"/>
      <c r="C6" s="105"/>
      <c r="D6" s="105"/>
      <c r="E6" s="105"/>
      <c r="F6" s="105"/>
      <c r="G6" s="105"/>
      <c r="H6" s="105"/>
      <c r="I6" s="105"/>
      <c r="J6" s="105"/>
      <c r="K6" s="105"/>
      <c r="L6" s="105"/>
      <c r="M6" s="105"/>
      <c r="N6" s="105"/>
      <c r="O6" s="105"/>
      <c r="P6" s="105"/>
    </row>
    <row r="7" spans="1:18" ht="45" x14ac:dyDescent="0.25">
      <c r="A7" s="205" t="s">
        <v>74</v>
      </c>
      <c r="B7" s="11" t="s">
        <v>75</v>
      </c>
      <c r="C7" s="103">
        <f>100</f>
        <v>100</v>
      </c>
      <c r="D7" s="103">
        <f>C7*(1+'IMPACT banques GSF ROE+'!$C$8)</f>
        <v>120</v>
      </c>
      <c r="E7" s="103">
        <f>D7*(1+'IMPACT banques GSF ROE+'!$C$8)</f>
        <v>144</v>
      </c>
      <c r="F7" s="103">
        <f>E7*(1+'IMPACT banques GSF ROE+'!$C$8)</f>
        <v>172.79999999999998</v>
      </c>
      <c r="G7" s="103">
        <f>F7*(1+'IMPACT banques GSF ROE+'!$C$8)</f>
        <v>207.35999999999999</v>
      </c>
      <c r="H7" s="103">
        <f>G7*(1+'IMPACT banques GSF ROE+'!$C$8)</f>
        <v>248.83199999999997</v>
      </c>
      <c r="I7" s="103">
        <f>H7*(1+'IMPACT banques GSF ROE+'!$C$8)</f>
        <v>298.59839999999997</v>
      </c>
      <c r="J7" s="103">
        <f>I7*(1+'IMPACT banques GSF ROE+'!$D$8)</f>
        <v>328.45823999999999</v>
      </c>
      <c r="K7" s="103">
        <f>J7*(1+'IMPACT banques GSF ROE+'!$D$8)</f>
        <v>361.30406400000004</v>
      </c>
      <c r="L7" s="103">
        <f>K7*(1+'IMPACT banques GSF ROE+'!$D$8)</f>
        <v>397.43447040000007</v>
      </c>
      <c r="M7" s="103">
        <f>L7*(1+'IMPACT banques GSF ROE+'!$D$8)</f>
        <v>437.1779174400001</v>
      </c>
      <c r="N7" s="103">
        <f>M7*(1+'IMPACT banques GSF ROE+'!$D$8)</f>
        <v>480.89570918400017</v>
      </c>
      <c r="O7" s="103">
        <f>N7*(1+'IMPACT banques GSF ROE+'!$D$8)</f>
        <v>528.98528010240022</v>
      </c>
      <c r="P7" s="103">
        <f>O7*(1+'IMPACT banques GSF ROE+'!$D$8)</f>
        <v>581.88380811264028</v>
      </c>
      <c r="R7">
        <f>1/4</f>
        <v>0.25</v>
      </c>
    </row>
    <row r="8" spans="1:18" ht="45" x14ac:dyDescent="0.25">
      <c r="A8" s="178"/>
      <c r="B8" s="11" t="s">
        <v>76</v>
      </c>
      <c r="C8" s="107">
        <f>'IMPACT banques GSF ROE+'!$D$4*C7/C4</f>
        <v>0.02</v>
      </c>
      <c r="D8" s="107">
        <f>'IMPACT banques GSF ROE+'!$D$4*D7/D4</f>
        <v>2.3300970873786409E-2</v>
      </c>
      <c r="E8" s="107">
        <f>'IMPACT banques GSF ROE+'!$D$4*E7/E4</f>
        <v>2.7146762183052123E-2</v>
      </c>
      <c r="F8" s="107">
        <f>'IMPACT banques GSF ROE+'!$D$4*F7/F4</f>
        <v>3.1627295747245189E-2</v>
      </c>
      <c r="G8" s="107">
        <f>'IMPACT banques GSF ROE+'!$D$4*G7/G4</f>
        <v>3.6847334851159444E-2</v>
      </c>
      <c r="H8" s="107">
        <f>'IMPACT banques GSF ROE+'!$D$4*H7/H4</f>
        <v>4.2928933807176058E-2</v>
      </c>
      <c r="I8" s="107">
        <f>'IMPACT banques GSF ROE+'!$D$4*I7/I4</f>
        <v>5.0014291814185693E-2</v>
      </c>
      <c r="J8" s="107">
        <f>'IMPACT banques GSF ROE+'!$D$4*J7/J4</f>
        <v>5.3413321354955599E-2</v>
      </c>
      <c r="K8" s="107">
        <f>'IMPACT banques GSF ROE+'!$D$4*K7/K4</f>
        <v>5.7043352903350643E-2</v>
      </c>
      <c r="L8" s="107">
        <f>'IMPACT banques GSF ROE+'!$D$4*L7/L4</f>
        <v>6.0920085624937587E-2</v>
      </c>
      <c r="M8" s="107">
        <f>'IMPACT banques GSF ROE+'!$D$4*M7/M4</f>
        <v>6.5060285618865385E-2</v>
      </c>
      <c r="N8" s="107">
        <f>'IMPACT banques GSF ROE+'!$D$4*N7/N4</f>
        <v>6.9481858427914489E-2</v>
      </c>
      <c r="O8" s="107">
        <f>'IMPACT banques GSF ROE+'!$D$4*O7/O4</f>
        <v>7.4203926476413537E-2</v>
      </c>
      <c r="P8" s="107">
        <f>'IMPACT banques GSF ROE+'!$D$4*P7/P4</f>
        <v>7.9246911770927089E-2</v>
      </c>
      <c r="R8">
        <f>1/10</f>
        <v>0.1</v>
      </c>
    </row>
    <row r="9" spans="1:18" ht="30" x14ac:dyDescent="0.25">
      <c r="A9" s="178"/>
      <c r="B9" s="11" t="s">
        <v>77</v>
      </c>
      <c r="C9" s="108">
        <f>C8*C$5</f>
        <v>0.24</v>
      </c>
      <c r="D9" s="108">
        <f t="shared" ref="D9:P9" si="0">D8*D$5</f>
        <v>0.28799999999999998</v>
      </c>
      <c r="E9" s="108">
        <f t="shared" si="0"/>
        <v>0.34559999999999996</v>
      </c>
      <c r="F9" s="108">
        <f t="shared" si="0"/>
        <v>0.41471999999999992</v>
      </c>
      <c r="G9" s="108">
        <f t="shared" si="0"/>
        <v>0.49766399999999994</v>
      </c>
      <c r="H9" s="108">
        <f t="shared" si="0"/>
        <v>0.59719679999999997</v>
      </c>
      <c r="I9" s="108">
        <f t="shared" si="0"/>
        <v>0.71663615999999986</v>
      </c>
      <c r="J9" s="108">
        <f t="shared" si="0"/>
        <v>0.78829977600000001</v>
      </c>
      <c r="K9" s="108">
        <f t="shared" si="0"/>
        <v>0.86712975360000011</v>
      </c>
      <c r="L9" s="108">
        <f t="shared" si="0"/>
        <v>0.95384272896000022</v>
      </c>
      <c r="M9" s="108">
        <f t="shared" si="0"/>
        <v>1.0492270018560004</v>
      </c>
      <c r="N9" s="108">
        <f t="shared" si="0"/>
        <v>1.1541497020416005</v>
      </c>
      <c r="O9" s="108">
        <f t="shared" si="0"/>
        <v>1.2695646722457608</v>
      </c>
      <c r="P9" s="108">
        <f t="shared" si="0"/>
        <v>1.3965211394703367</v>
      </c>
      <c r="R9" s="127">
        <f>1/15</f>
        <v>6.6666666666666666E-2</v>
      </c>
    </row>
    <row r="10" spans="1:18" x14ac:dyDescent="0.25">
      <c r="A10" s="178"/>
      <c r="B10" s="11"/>
      <c r="C10" s="108"/>
      <c r="D10" s="108"/>
      <c r="E10" s="108"/>
      <c r="F10" s="108"/>
      <c r="G10" s="108"/>
      <c r="H10" s="108"/>
      <c r="I10" s="108"/>
      <c r="J10" s="108"/>
      <c r="K10" s="108"/>
      <c r="L10" s="108"/>
      <c r="M10" s="108"/>
      <c r="N10" s="108"/>
      <c r="O10" s="108"/>
      <c r="P10" s="108"/>
    </row>
    <row r="11" spans="1:18" x14ac:dyDescent="0.25">
      <c r="A11" s="178"/>
      <c r="B11" s="11"/>
      <c r="C11" s="108"/>
      <c r="D11" s="108"/>
      <c r="E11" s="108"/>
      <c r="F11" s="108"/>
      <c r="G11" s="108"/>
      <c r="H11" s="108"/>
      <c r="I11" s="108"/>
      <c r="J11" s="108"/>
      <c r="K11" s="108"/>
      <c r="L11" s="108"/>
      <c r="M11" s="108"/>
      <c r="N11" s="108"/>
      <c r="O11" s="108"/>
      <c r="P11" s="108"/>
    </row>
    <row r="12" spans="1:18" x14ac:dyDescent="0.25">
      <c r="A12" s="178"/>
      <c r="B12" s="11" t="s">
        <v>78</v>
      </c>
      <c r="C12" s="108">
        <v>0</v>
      </c>
      <c r="D12" s="108">
        <v>0</v>
      </c>
      <c r="E12" s="108">
        <v>0</v>
      </c>
      <c r="F12" s="108">
        <v>0</v>
      </c>
      <c r="G12" s="108">
        <f>'Maturity models'!$D$21*C9</f>
        <v>9.1304347826086957E-2</v>
      </c>
      <c r="H12" s="108">
        <f>'Maturity models'!$D$21*D9</f>
        <v>0.10956521739130434</v>
      </c>
      <c r="I12" s="108">
        <f>'Maturity models'!$E$21*E9</f>
        <v>0.16765949656750573</v>
      </c>
      <c r="J12" s="108">
        <f>'Maturity models'!$E$21*F9</f>
        <v>0.20119139588100685</v>
      </c>
      <c r="K12" s="108">
        <f>'Maturity models'!$E$21*G9</f>
        <v>0.24142967505720822</v>
      </c>
      <c r="L12" s="108">
        <f>'Maturity models'!$E$21*H9+'Maturity models'!$D$12*'Eligible portfolio calculation'!C9</f>
        <v>0.38493300137299769</v>
      </c>
      <c r="M12" s="108">
        <f>'Maturity models'!$E$21*I9+'Maturity models'!$D$12*'Eligible portfolio calculation'!D9</f>
        <v>0.46191960164759721</v>
      </c>
      <c r="N12" s="108">
        <f>'Maturity models'!$E$21*J9+'Maturity models'!$E$12*'Eligible portfolio calculation'!E9</f>
        <v>0.50500584098855839</v>
      </c>
      <c r="O12" s="108">
        <f>'Maturity models'!$E$21*K9+'Maturity models'!$E$12*'Eligible portfolio calculation'!F9+'Maturity models'!$D$28*'Eligible portfolio calculation'!C9</f>
        <v>0.62124280952677347</v>
      </c>
      <c r="P12" s="108">
        <f>'Maturity models'!$E$21*L9+'Maturity models'!$E$12*'Eligible portfolio calculation'!G9+'Maturity models'!$D$28*'Eligible portfolio calculation'!D9</f>
        <v>0.70342466485016031</v>
      </c>
    </row>
    <row r="13" spans="1:18" ht="30" x14ac:dyDescent="0.25">
      <c r="A13" s="178"/>
      <c r="B13" s="11" t="s">
        <v>79</v>
      </c>
      <c r="C13" s="33">
        <f>(SUM($C$9:C9)-SUM($C$12:C12))/C4</f>
        <v>2.3999999999999998E-3</v>
      </c>
      <c r="D13" s="33">
        <f>(SUM($C$9:D9)-SUM($C$12:D12))/D4</f>
        <v>5.1262135922330102E-3</v>
      </c>
      <c r="E13" s="33">
        <f>(SUM($C$9:E9)-SUM($C$12:E12))/E4</f>
        <v>8.2345178621924774E-3</v>
      </c>
      <c r="F13" s="33">
        <f>(SUM($C$9:F9)-SUM($C$12:F12))/F4</f>
        <v>1.1789953025778625E-2</v>
      </c>
      <c r="G13" s="33">
        <f>(SUM($C$9:G9)-SUM($C$12:G12))/G4</f>
        <v>1.5057009213227864E-2</v>
      </c>
      <c r="H13" s="33">
        <f>(SUM($C$9:H9)-SUM($C$12:H12))/H4</f>
        <v>1.88248084138373E-2</v>
      </c>
      <c r="I13" s="33">
        <f>(SUM($C$9:I9)-SUM($C$12:I12))/I4</f>
        <v>2.2874106152257358E-2</v>
      </c>
      <c r="J13" s="33">
        <f>(SUM($C$9:J9)-SUM($C$12:J12))/J4</f>
        <v>2.6981598451868306E-2</v>
      </c>
      <c r="K13" s="33">
        <f>(SUM($C$9:K9)-SUM($C$12:K12))/K4</f>
        <v>3.1135060851425672E-2</v>
      </c>
      <c r="L13" s="33">
        <f>(SUM($C$9:L9)-SUM($C$12:L12))/L4</f>
        <v>3.4588433763017214E-2</v>
      </c>
      <c r="M13" s="33">
        <f>(SUM($C$9:M9)-SUM($C$12:M12))/M4</f>
        <v>3.7951122280103645E-2</v>
      </c>
      <c r="N13" s="33">
        <f>(SUM($C$9:N9)-SUM($C$12:N12))/N4</f>
        <v>4.153530315449027E-2</v>
      </c>
      <c r="O13" s="33">
        <f>(SUM($C$9:O9)-SUM($C$12:O12))/O4</f>
        <v>4.4872736147197716E-2</v>
      </c>
      <c r="P13" s="33">
        <f>(SUM($C$9:P9)-SUM($C$12:P12))/P4</f>
        <v>4.8285412981078094E-2</v>
      </c>
    </row>
    <row r="14" spans="1:18" x14ac:dyDescent="0.25">
      <c r="A14" s="104"/>
      <c r="B14" s="104"/>
      <c r="C14" s="105"/>
      <c r="D14" s="105"/>
      <c r="E14" s="105"/>
      <c r="F14" s="105"/>
      <c r="G14" s="105"/>
      <c r="H14" s="105"/>
      <c r="I14" s="105"/>
      <c r="J14" s="105"/>
      <c r="K14" s="105"/>
      <c r="L14" s="105"/>
      <c r="M14" s="105"/>
      <c r="N14" s="105"/>
      <c r="O14" s="105"/>
      <c r="P14" s="105"/>
    </row>
    <row r="15" spans="1:18" ht="45" x14ac:dyDescent="0.25">
      <c r="A15" s="205" t="s">
        <v>80</v>
      </c>
      <c r="B15" s="11" t="s">
        <v>75</v>
      </c>
      <c r="C15" s="103">
        <f>100</f>
        <v>100</v>
      </c>
      <c r="D15" s="103">
        <f>C15*(1+'IMPACT banques GSF ROE+'!$C$9)</f>
        <v>110.00000000000001</v>
      </c>
      <c r="E15" s="103">
        <f>D15*(1+'IMPACT banques GSF ROE+'!$C$9)</f>
        <v>121.00000000000003</v>
      </c>
      <c r="F15" s="103">
        <f>E15*(1+'IMPACT banques GSF ROE+'!$C$9)</f>
        <v>133.10000000000005</v>
      </c>
      <c r="G15" s="103">
        <f>F15*(1+'IMPACT banques GSF ROE+'!$C$9)</f>
        <v>146.41000000000008</v>
      </c>
      <c r="H15" s="103">
        <f>G15*(1+'IMPACT banques GSF ROE+'!$C$9)</f>
        <v>161.0510000000001</v>
      </c>
      <c r="I15" s="103">
        <f>H15*(1+'IMPACT banques GSF ROE+'!$C$9)</f>
        <v>177.15610000000012</v>
      </c>
      <c r="J15" s="103">
        <f>I15*(1+'IMPACT banques GSF ROE+'!$D$8)</f>
        <v>194.87171000000015</v>
      </c>
      <c r="K15" s="103">
        <f>J15*(1+'IMPACT banques GSF ROE+'!$D$8)</f>
        <v>214.3588810000002</v>
      </c>
      <c r="L15" s="103">
        <f>K15*(1+'IMPACT banques GSF ROE+'!$D$8)</f>
        <v>235.79476910000022</v>
      </c>
      <c r="M15" s="103">
        <f>L15*(1+'IMPACT banques GSF ROE+'!$D$8)</f>
        <v>259.37424601000026</v>
      </c>
      <c r="N15" s="103">
        <f>M15*(1+'IMPACT banques GSF ROE+'!$D$8)</f>
        <v>285.3116706110003</v>
      </c>
      <c r="O15" s="103">
        <f>N15*(1+'IMPACT banques GSF ROE+'!$D$8)</f>
        <v>313.84283767210036</v>
      </c>
      <c r="P15" s="103">
        <f>O15*(1+'IMPACT banques GSF ROE+'!$D$8)</f>
        <v>345.22712143931039</v>
      </c>
    </row>
    <row r="16" spans="1:18" ht="45" x14ac:dyDescent="0.25">
      <c r="A16" s="178"/>
      <c r="B16" s="11" t="s">
        <v>76</v>
      </c>
      <c r="C16" s="107">
        <f>'IMPACT banques GSF ROE+'!$D$4*C15/C4</f>
        <v>0.02</v>
      </c>
      <c r="D16" s="107">
        <f>'IMPACT banques GSF ROE+'!$D$4*D15/D4</f>
        <v>2.1359223300970877E-2</v>
      </c>
      <c r="E16" s="107">
        <f>'IMPACT banques GSF ROE+'!$D$4*E15/E4</f>
        <v>2.2810821001036864E-2</v>
      </c>
      <c r="F16" s="107">
        <f>'IMPACT banques GSF ROE+'!$D$4*F15/F4</f>
        <v>2.4361070971981119E-2</v>
      </c>
      <c r="G16" s="107">
        <f>'IMPACT banques GSF ROE+'!$D$4*G15/G4</f>
        <v>2.6016677737067218E-2</v>
      </c>
      <c r="H16" s="107">
        <f>'IMPACT banques GSF ROE+'!$D$4*H15/H4</f>
        <v>2.7784801466770814E-2</v>
      </c>
      <c r="I16" s="107">
        <f>'IMPACT banques GSF ROE+'!$D$4*I15/I4</f>
        <v>2.9673088945095048E-2</v>
      </c>
      <c r="J16" s="107">
        <f>'IMPACT banques GSF ROE+'!$D$4*J15/J4</f>
        <v>3.1689706640392772E-2</v>
      </c>
      <c r="K16" s="107">
        <f>'IMPACT banques GSF ROE+'!$D$4*K15/K4</f>
        <v>3.3843376023720437E-2</v>
      </c>
      <c r="L16" s="107">
        <f>'IMPACT banques GSF ROE+'!$D$4*L15/L4</f>
        <v>3.6143411287468431E-2</v>
      </c>
      <c r="M16" s="107">
        <f>'IMPACT banques GSF ROE+'!$D$4*M15/M4</f>
        <v>3.8599759627393468E-2</v>
      </c>
      <c r="N16" s="107">
        <f>'IMPACT banques GSF ROE+'!$D$4*N15/N4</f>
        <v>4.1223044262264863E-2</v>
      </c>
      <c r="O16" s="107">
        <f>'IMPACT banques GSF ROE+'!$D$4*O15/O4</f>
        <v>4.4024610377176074E-2</v>
      </c>
      <c r="P16" s="107">
        <f>'IMPACT banques GSF ROE+'!$D$4*P15/P4</f>
        <v>4.7016574189217168E-2</v>
      </c>
    </row>
    <row r="17" spans="1:16" ht="30" x14ac:dyDescent="0.25">
      <c r="A17" s="178"/>
      <c r="B17" s="11" t="s">
        <v>77</v>
      </c>
      <c r="C17" s="108">
        <f>C16*C$5</f>
        <v>0.24</v>
      </c>
      <c r="D17" s="108">
        <f t="shared" ref="D17" si="1">D16*D$5</f>
        <v>0.26400000000000001</v>
      </c>
      <c r="E17" s="108">
        <f t="shared" ref="E17" si="2">E16*E$5</f>
        <v>0.2904000000000001</v>
      </c>
      <c r="F17" s="108">
        <f t="shared" ref="F17" si="3">F16*F$5</f>
        <v>0.31944000000000017</v>
      </c>
      <c r="G17" s="108">
        <f t="shared" ref="G17" si="4">G16*G$5</f>
        <v>0.35138400000000025</v>
      </c>
      <c r="H17" s="108">
        <f t="shared" ref="H17" si="5">H16*H$5</f>
        <v>0.38652240000000021</v>
      </c>
      <c r="I17" s="108">
        <f t="shared" ref="I17" si="6">I16*I$5</f>
        <v>0.42517464000000027</v>
      </c>
      <c r="J17" s="108">
        <f t="shared" ref="J17" si="7">J16*J$5</f>
        <v>0.46769210400000033</v>
      </c>
      <c r="K17" s="108">
        <f t="shared" ref="K17" si="8">K16*K$5</f>
        <v>0.51446131440000042</v>
      </c>
      <c r="L17" s="108">
        <f t="shared" ref="L17" si="9">L16*L$5</f>
        <v>0.56590744584000052</v>
      </c>
      <c r="M17" s="108">
        <f t="shared" ref="M17" si="10">M16*M$5</f>
        <v>0.62249819042400056</v>
      </c>
      <c r="N17" s="108">
        <f t="shared" ref="N17" si="11">N16*N$5</f>
        <v>0.68474800946640069</v>
      </c>
      <c r="O17" s="108">
        <f t="shared" ref="O17" si="12">O16*O$5</f>
        <v>0.75322281041304084</v>
      </c>
      <c r="P17" s="108">
        <f t="shared" ref="P17" si="13">P16*P$5</f>
        <v>0.82854509145434496</v>
      </c>
    </row>
    <row r="18" spans="1:16" x14ac:dyDescent="0.25">
      <c r="A18" s="178"/>
      <c r="B18" s="11" t="s">
        <v>78</v>
      </c>
      <c r="C18" s="109">
        <v>0</v>
      </c>
      <c r="D18" s="109">
        <v>0</v>
      </c>
      <c r="E18" s="109">
        <v>0</v>
      </c>
      <c r="F18" s="109">
        <v>0</v>
      </c>
      <c r="G18" s="108">
        <f>'Maturity models'!$D$21*C17</f>
        <v>9.1304347826086957E-2</v>
      </c>
      <c r="H18" s="108">
        <f>'Maturity models'!$D$21*D17</f>
        <v>0.10043478260869566</v>
      </c>
      <c r="I18" s="108">
        <f>'Maturity models'!$E$21*E17</f>
        <v>0.14088054919908474</v>
      </c>
      <c r="J18" s="108">
        <f>'Maturity models'!$E$21*F17</f>
        <v>0.15496860411899324</v>
      </c>
      <c r="K18" s="108">
        <f>'Maturity models'!$E$21*G17</f>
        <v>0.17046546453089259</v>
      </c>
      <c r="L18" s="108">
        <f>'Maturity models'!$E$21*H17+'Maturity models'!$D$12*'Eligible portfolio calculation'!C17</f>
        <v>0.28272940228832966</v>
      </c>
      <c r="M18" s="108">
        <f>'Maturity models'!$E$21*I17+'Maturity models'!$D$12*'Eligible portfolio calculation'!D17</f>
        <v>0.31100234251716263</v>
      </c>
      <c r="N18" s="108">
        <f>'Maturity models'!$E$21*J17+'Maturity models'!$E$12*'Eligible portfolio calculation'!E17</f>
        <v>0.32989182162013753</v>
      </c>
      <c r="O18" s="108">
        <f>'Maturity models'!$E$21*K17+'Maturity models'!$E$12*'Eligible portfolio calculation'!F17+'Maturity models'!$D$28*'Eligible portfolio calculation'!C17</f>
        <v>0.41635926465171647</v>
      </c>
      <c r="P18" s="108">
        <f>'Maturity models'!$E$21*L17+'Maturity models'!$E$12*'Eligible portfolio calculation'!G17+'Maturity models'!$D$28*'Eligible portfolio calculation'!D17</f>
        <v>0.45799519111688825</v>
      </c>
    </row>
    <row r="19" spans="1:16" ht="30" x14ac:dyDescent="0.25">
      <c r="A19" s="178"/>
      <c r="B19" s="11" t="s">
        <v>79</v>
      </c>
      <c r="C19" s="106">
        <f>(SUM($C17:C17)-SUM($C18:C18))/C4</f>
        <v>2.3999999999999998E-3</v>
      </c>
      <c r="D19" s="106">
        <f>(SUM($C17:D17)-SUM($C18:D18))/D4</f>
        <v>4.8932038834951456E-3</v>
      </c>
      <c r="E19" s="106">
        <f>(SUM($C17:E17)-SUM($C18:E18))/E4</f>
        <v>7.4879819021585452E-3</v>
      </c>
      <c r="F19" s="106">
        <f>(SUM($C17:F17)-SUM($C18:F18))/F4</f>
        <v>1.0193213858539234E-2</v>
      </c>
      <c r="G19" s="106">
        <f>(SUM($C17:G17)-SUM($C18:G18))/G4</f>
        <v>1.2207098158333506E-2</v>
      </c>
      <c r="H19" s="106">
        <f>(SUM($C17:H17)-SUM($C18:H18))/H4</f>
        <v>1.431936852868528E-2</v>
      </c>
      <c r="I19" s="106">
        <f>(SUM($C17:I17)-SUM($C18:I18))/I4</f>
        <v>1.6283217795552495E-2</v>
      </c>
      <c r="J19" s="106">
        <f>(SUM($C17:J17)-SUM($C18:J18))/J4</f>
        <v>1.8351677547578691E-2</v>
      </c>
      <c r="K19" s="106">
        <f>(SUM($C17:K17)-SUM($C18:K18))/K4</f>
        <v>2.0532697672075568E-2</v>
      </c>
      <c r="L19" s="106">
        <f>(SUM($C17:L17)-SUM($C18:L18))/L4</f>
        <v>2.2104981842157281E-2</v>
      </c>
      <c r="M19" s="106">
        <f>(SUM($C17:M17)-SUM($C18:M18))/M4</f>
        <v>2.377896906900091E-2</v>
      </c>
      <c r="N19" s="106">
        <f>(SUM($C17:N17)-SUM($C18:N18))/N4</f>
        <v>2.5649934339222764E-2</v>
      </c>
      <c r="O19" s="106">
        <f>(SUM($C17:O17)-SUM($C18:O18))/O4</f>
        <v>2.7265542006706389E-2</v>
      </c>
      <c r="P19" s="106">
        <f>(SUM($C17:P17)-SUM($C18:P18))/P4</f>
        <v>2.8994664518202352E-2</v>
      </c>
    </row>
    <row r="20" spans="1:16" x14ac:dyDescent="0.25">
      <c r="A20" s="104"/>
      <c r="B20" s="104"/>
      <c r="C20" s="105"/>
      <c r="D20" s="105"/>
      <c r="E20" s="105"/>
      <c r="F20" s="105"/>
      <c r="G20" s="105"/>
      <c r="H20" s="105"/>
      <c r="I20" s="105"/>
      <c r="J20" s="105"/>
      <c r="K20" s="105"/>
      <c r="L20" s="105"/>
      <c r="M20" s="105"/>
      <c r="N20" s="105"/>
      <c r="O20" s="105"/>
      <c r="P20" s="105"/>
    </row>
    <row r="21" spans="1:16" ht="45" x14ac:dyDescent="0.25">
      <c r="A21" s="205" t="s">
        <v>81</v>
      </c>
      <c r="B21" s="11" t="s">
        <v>75</v>
      </c>
      <c r="C21" s="103">
        <v>100</v>
      </c>
      <c r="D21" s="103">
        <f>C21*(1+'IMPACT banques GSF ROE+'!$C$10)</f>
        <v>103</v>
      </c>
      <c r="E21" s="103">
        <f>D21*(1+'IMPACT banques GSF ROE+'!$C$10)</f>
        <v>106.09</v>
      </c>
      <c r="F21" s="103">
        <f>E21*(1+'IMPACT banques GSF ROE+'!$C$10)</f>
        <v>109.2727</v>
      </c>
      <c r="G21" s="103">
        <f>F21*(1+'IMPACT banques GSF ROE+'!$C$10)</f>
        <v>112.550881</v>
      </c>
      <c r="H21" s="103">
        <f>G21*(1+'IMPACT banques GSF ROE+'!$C$10)</f>
        <v>115.92740743</v>
      </c>
      <c r="I21" s="103">
        <f>H21*(1+'IMPACT banques GSF ROE+'!$C$10)</f>
        <v>119.4052296529</v>
      </c>
      <c r="J21" s="103">
        <f>I21*(1+'IMPACT banques GSF ROE+'!$D$10)</f>
        <v>122.987386542487</v>
      </c>
      <c r="K21" s="103">
        <f>J21*(1+'IMPACT banques GSF ROE+'!$D$10)</f>
        <v>126.67700813876162</v>
      </c>
      <c r="L21" s="103">
        <f>K21*(1+'IMPACT banques GSF ROE+'!$D$10)</f>
        <v>130.47731838292447</v>
      </c>
      <c r="M21" s="103">
        <f>L21*(1+'IMPACT banques GSF ROE+'!$D$10)</f>
        <v>134.39163793441222</v>
      </c>
      <c r="N21" s="103">
        <f>M21*(1+'IMPACT banques GSF ROE+'!$D$10)</f>
        <v>138.4233870724446</v>
      </c>
      <c r="O21" s="103">
        <f>N21*(1+'IMPACT banques GSF ROE+'!$D$10)</f>
        <v>142.57608868461793</v>
      </c>
      <c r="P21" s="103">
        <f>O21*(1+'IMPACT banques GSF ROE+'!$D$10)</f>
        <v>146.85337134515646</v>
      </c>
    </row>
    <row r="22" spans="1:16" ht="45" x14ac:dyDescent="0.25">
      <c r="A22" s="178"/>
      <c r="B22" s="11" t="s">
        <v>76</v>
      </c>
      <c r="C22" s="107">
        <f>'IMPACT banques GSF ROE+'!$D$4*C21/C4</f>
        <v>0.02</v>
      </c>
      <c r="D22" s="107">
        <f>'IMPACT banques GSF ROE+'!$D$4*D21/D4</f>
        <v>0.02</v>
      </c>
      <c r="E22" s="107">
        <f>'IMPACT banques GSF ROE+'!$D$4*E21/E4</f>
        <v>1.9999999999999997E-2</v>
      </c>
      <c r="F22" s="107">
        <f>'IMPACT banques GSF ROE+'!$D$4*F21/F4</f>
        <v>0.02</v>
      </c>
      <c r="G22" s="107">
        <f>'IMPACT banques GSF ROE+'!$D$4*G21/G4</f>
        <v>0.02</v>
      </c>
      <c r="H22" s="107">
        <f>'IMPACT banques GSF ROE+'!$D$4*H21/H4</f>
        <v>0.02</v>
      </c>
      <c r="I22" s="107">
        <f>'IMPACT banques GSF ROE+'!$D$4*I21/I4</f>
        <v>0.02</v>
      </c>
      <c r="J22" s="107">
        <f>'IMPACT banques GSF ROE+'!$D$4*J21/J4</f>
        <v>0.02</v>
      </c>
      <c r="K22" s="107">
        <f>'IMPACT banques GSF ROE+'!$D$4*K21/K4</f>
        <v>0.02</v>
      </c>
      <c r="L22" s="107">
        <f>'IMPACT banques GSF ROE+'!$D$4*L21/L4</f>
        <v>0.02</v>
      </c>
      <c r="M22" s="107">
        <f>'IMPACT banques GSF ROE+'!$D$4*M21/M4</f>
        <v>0.02</v>
      </c>
      <c r="N22" s="107">
        <f>'IMPACT banques GSF ROE+'!$D$4*N21/N4</f>
        <v>0.02</v>
      </c>
      <c r="O22" s="107">
        <f>'IMPACT banques GSF ROE+'!$D$4*O21/O4</f>
        <v>0.02</v>
      </c>
      <c r="P22" s="107">
        <f>'IMPACT banques GSF ROE+'!$D$4*P21/P4</f>
        <v>0.02</v>
      </c>
    </row>
    <row r="23" spans="1:16" ht="30" x14ac:dyDescent="0.25">
      <c r="A23" s="178"/>
      <c r="B23" s="11" t="s">
        <v>77</v>
      </c>
      <c r="C23" s="108">
        <f>C22*C$5</f>
        <v>0.24</v>
      </c>
      <c r="D23" s="108">
        <f t="shared" ref="D23" si="14">D22*D$5</f>
        <v>0.2472</v>
      </c>
      <c r="E23" s="108">
        <f t="shared" ref="E23" si="15">E22*E$5</f>
        <v>0.25461599999999995</v>
      </c>
      <c r="F23" s="108">
        <f t="shared" ref="F23" si="16">F22*F$5</f>
        <v>0.26225448000000001</v>
      </c>
      <c r="G23" s="108">
        <f t="shared" ref="G23" si="17">G22*G$5</f>
        <v>0.2701221144</v>
      </c>
      <c r="H23" s="108">
        <f t="shared" ref="H23" si="18">H22*H$5</f>
        <v>0.27822577783200003</v>
      </c>
      <c r="I23" s="108">
        <f t="shared" ref="I23" si="19">I22*I$5</f>
        <v>0.28657255116696001</v>
      </c>
      <c r="J23" s="108">
        <f t="shared" ref="J23" si="20">J22*J$5</f>
        <v>0.29516972770196881</v>
      </c>
      <c r="K23" s="108">
        <f t="shared" ref="K23" si="21">K22*K$5</f>
        <v>0.3040248195330279</v>
      </c>
      <c r="L23" s="108">
        <f t="shared" ref="L23" si="22">L22*L$5</f>
        <v>0.31314556411901873</v>
      </c>
      <c r="M23" s="108">
        <f t="shared" ref="M23" si="23">M22*M$5</f>
        <v>0.32253993104258932</v>
      </c>
      <c r="N23" s="108">
        <f t="shared" ref="N23" si="24">N22*N$5</f>
        <v>0.33221612897386704</v>
      </c>
      <c r="O23" s="108">
        <f t="shared" ref="O23" si="25">O22*O$5</f>
        <v>0.34218261284308304</v>
      </c>
      <c r="P23" s="108">
        <f t="shared" ref="P23" si="26">P22*P$5</f>
        <v>0.3524480912283755</v>
      </c>
    </row>
    <row r="24" spans="1:16" x14ac:dyDescent="0.25">
      <c r="A24" s="178"/>
      <c r="B24" s="11" t="s">
        <v>78</v>
      </c>
      <c r="C24" s="108">
        <v>0</v>
      </c>
      <c r="D24" s="108">
        <v>0</v>
      </c>
      <c r="E24" s="108">
        <v>0</v>
      </c>
      <c r="F24" s="108">
        <v>0</v>
      </c>
      <c r="G24" s="108">
        <f>'Maturity models'!$D$21*C23</f>
        <v>9.1304347826086957E-2</v>
      </c>
      <c r="H24" s="108">
        <f>'Maturity models'!$D$21*D23</f>
        <v>9.4043478260869576E-2</v>
      </c>
      <c r="I24" s="108">
        <f>'Maturity models'!$E$21*E23</f>
        <v>0.12352080549199083</v>
      </c>
      <c r="J24" s="108">
        <f>'Maturity models'!$E$21*F23</f>
        <v>0.1272264296567506</v>
      </c>
      <c r="K24" s="108">
        <f>'Maturity models'!$E$21*G23</f>
        <v>0.13104322254645309</v>
      </c>
      <c r="L24" s="108">
        <f>'Maturity models'!$E$21*H23+'Maturity models'!$D$12*'Eligible portfolio calculation'!C23</f>
        <v>0.23019191052719451</v>
      </c>
      <c r="M24" s="108">
        <f>'Maturity models'!$E$21*I23+'Maturity models'!$D$12*'Eligible portfolio calculation'!D23</f>
        <v>0.23709766784301037</v>
      </c>
      <c r="N24" s="108">
        <f>'Maturity models'!$E$21*J23+'Maturity models'!$E$12*'Eligible portfolio calculation'!E23</f>
        <v>0.23350449032681325</v>
      </c>
      <c r="O24" s="108">
        <f>'Maturity models'!$E$21*K23+'Maturity models'!$E$12*'Eligible portfolio calculation'!F23+'Maturity models'!$D$28*'Eligible portfolio calculation'!C23</f>
        <v>0.29398788590618286</v>
      </c>
      <c r="P24" s="108">
        <f>'Maturity models'!$E$21*L23+'Maturity models'!$E$12*'Eligible portfolio calculation'!G23+'Maturity models'!$D$28*'Eligible portfolio calculation'!D23</f>
        <v>0.30280752248336834</v>
      </c>
    </row>
    <row r="25" spans="1:16" ht="30" x14ac:dyDescent="0.25">
      <c r="A25" s="178"/>
      <c r="B25" s="11" t="s">
        <v>79</v>
      </c>
      <c r="C25" s="33">
        <f>(SUM($C23:C23)-SUM($C24:C24))/C4</f>
        <v>2.3999999999999998E-3</v>
      </c>
      <c r="D25" s="33">
        <f>(SUM($C23:D23)-SUM($C24:D24))/D4</f>
        <v>4.7300970873786407E-3</v>
      </c>
      <c r="E25" s="33">
        <f>(SUM($C23:E23)-SUM($C24:E24))/E4</f>
        <v>6.9923272692996499E-3</v>
      </c>
      <c r="F25" s="33">
        <f>(SUM($C23:F23)-SUM($C24:F24))/F4</f>
        <v>9.1886672517472335E-3</v>
      </c>
      <c r="G25" s="33">
        <f>(SUM($C23:G23)-SUM($C24:G24))/G4</f>
        <v>1.0509808862126217E-2</v>
      </c>
      <c r="H25" s="33">
        <f>(SUM($C23:H23)-SUM($C24:H24))/H4</f>
        <v>1.1792470619775713E-2</v>
      </c>
      <c r="I25" s="33">
        <f>(SUM($C23:I23)-SUM($C24:I24))/I4</f>
        <v>1.2814533301999732E-2</v>
      </c>
      <c r="J25" s="33">
        <f>(SUM($C23:J23)-SUM($C24:J24))/J4</f>
        <v>1.3806827168236644E-2</v>
      </c>
      <c r="K25" s="33">
        <f>(SUM($C23:K23)-SUM($C24:K24))/K4</f>
        <v>1.4770219271379273E-2</v>
      </c>
      <c r="L25" s="33">
        <f>(SUM($C23:L23)-SUM($C24:L24))/L4</f>
        <v>1.4975789391295074E-2</v>
      </c>
      <c r="M25" s="33">
        <f>(SUM($C23:M23)-SUM($C24:M24))/M4</f>
        <v>1.5175372031990026E-2</v>
      </c>
      <c r="N25" s="33">
        <f>(SUM($C23:N23)-SUM($C24:N24))/N4</f>
        <v>1.5446484784910283E-2</v>
      </c>
      <c r="O25" s="33">
        <f>(SUM($C23:O23)-SUM($C24:O24))/O4</f>
        <v>1.5334615287865172E-2</v>
      </c>
      <c r="P25" s="33">
        <f>(SUM($C23:P23)-SUM($C24:P24))/P4</f>
        <v>1.5226004125685455E-2</v>
      </c>
    </row>
    <row r="26" spans="1:16" x14ac:dyDescent="0.25">
      <c r="A26" s="104"/>
      <c r="B26" s="104"/>
      <c r="C26" s="105"/>
      <c r="D26" s="105"/>
      <c r="E26" s="105"/>
      <c r="F26" s="105"/>
      <c r="G26" s="105"/>
      <c r="H26" s="105"/>
      <c r="I26" s="105"/>
      <c r="J26" s="105"/>
      <c r="K26" s="105"/>
      <c r="L26" s="105"/>
      <c r="M26" s="105"/>
      <c r="N26" s="105"/>
      <c r="O26" s="105"/>
      <c r="P26" s="105"/>
    </row>
    <row r="27" spans="1:16" x14ac:dyDescent="0.25">
      <c r="C27" s="101"/>
      <c r="D27" s="101"/>
      <c r="E27" s="101"/>
      <c r="F27" s="101"/>
      <c r="G27" s="101"/>
      <c r="H27" s="101"/>
      <c r="I27" s="101"/>
      <c r="J27" s="101"/>
      <c r="K27" s="101"/>
      <c r="L27" s="101"/>
      <c r="M27" s="101"/>
      <c r="N27" s="101"/>
      <c r="O27" s="101"/>
      <c r="P27" s="101"/>
    </row>
    <row r="28" spans="1:16" x14ac:dyDescent="0.25">
      <c r="C28" s="101"/>
      <c r="D28" s="101"/>
      <c r="E28" s="101"/>
      <c r="F28" s="101"/>
      <c r="G28" s="101"/>
      <c r="H28" s="101"/>
      <c r="I28" s="101"/>
      <c r="J28" s="101"/>
      <c r="K28" s="101"/>
      <c r="L28" s="101"/>
      <c r="M28" s="101"/>
      <c r="N28" s="101"/>
      <c r="O28" s="101"/>
      <c r="P28" s="101"/>
    </row>
    <row r="30" spans="1:16" x14ac:dyDescent="0.25">
      <c r="C30" s="102"/>
      <c r="D30" s="102"/>
      <c r="E30" s="102"/>
      <c r="F30" s="102"/>
      <c r="G30" s="102"/>
      <c r="H30" s="102"/>
      <c r="I30" s="102"/>
      <c r="J30" s="102"/>
      <c r="K30" s="102"/>
      <c r="L30" s="102"/>
      <c r="M30" s="102"/>
      <c r="N30" s="102"/>
      <c r="O30" s="102"/>
      <c r="P30" s="102"/>
    </row>
  </sheetData>
  <mergeCells count="3">
    <mergeCell ref="A21:A25"/>
    <mergeCell ref="A15:A19"/>
    <mergeCell ref="A7:A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5C39-72BE-4295-93E3-F171F1F8C80C}">
  <dimension ref="B1:F32"/>
  <sheetViews>
    <sheetView workbookViewId="0">
      <selection activeCell="B1" sqref="B1:F4"/>
    </sheetView>
  </sheetViews>
  <sheetFormatPr baseColWidth="10" defaultColWidth="11.42578125" defaultRowHeight="15" x14ac:dyDescent="0.25"/>
  <cols>
    <col min="2" max="2" width="23.7109375" customWidth="1"/>
  </cols>
  <sheetData>
    <row r="1" spans="2:6" x14ac:dyDescent="0.25">
      <c r="B1" s="207" t="s">
        <v>82</v>
      </c>
      <c r="C1" s="207"/>
      <c r="D1" s="207"/>
      <c r="E1" s="207"/>
      <c r="F1" s="207"/>
    </row>
    <row r="2" spans="2:6" x14ac:dyDescent="0.25">
      <c r="B2" s="207"/>
      <c r="C2" s="207"/>
      <c r="D2" s="207"/>
      <c r="E2" s="207"/>
      <c r="F2" s="207"/>
    </row>
    <row r="3" spans="2:6" x14ac:dyDescent="0.25">
      <c r="B3" s="207"/>
      <c r="C3" s="207"/>
      <c r="D3" s="207"/>
      <c r="E3" s="207"/>
      <c r="F3" s="207"/>
    </row>
    <row r="4" spans="2:6" x14ac:dyDescent="0.25">
      <c r="B4" s="207"/>
      <c r="C4" s="207"/>
      <c r="D4" s="207"/>
      <c r="E4" s="207"/>
      <c r="F4" s="207"/>
    </row>
    <row r="5" spans="2:6" x14ac:dyDescent="0.25">
      <c r="C5" t="s">
        <v>83</v>
      </c>
      <c r="D5" t="s">
        <v>84</v>
      </c>
      <c r="E5" t="s">
        <v>85</v>
      </c>
      <c r="F5" s="29" t="s">
        <v>86</v>
      </c>
    </row>
    <row r="6" spans="2:6" x14ac:dyDescent="0.25">
      <c r="B6" s="206" t="s">
        <v>87</v>
      </c>
      <c r="C6" s="206"/>
      <c r="D6" s="206"/>
      <c r="E6" s="206"/>
      <c r="F6" s="3">
        <v>9</v>
      </c>
    </row>
    <row r="7" spans="2:6" x14ac:dyDescent="0.25">
      <c r="B7" s="1" t="s">
        <v>88</v>
      </c>
      <c r="C7" s="1">
        <v>3.2</v>
      </c>
      <c r="D7" s="1">
        <v>5</v>
      </c>
      <c r="E7" s="1">
        <v>12.2</v>
      </c>
      <c r="F7" s="1"/>
    </row>
    <row r="8" spans="2:6" x14ac:dyDescent="0.25">
      <c r="B8" s="1" t="s">
        <v>89</v>
      </c>
      <c r="C8" s="1">
        <v>0.2</v>
      </c>
      <c r="D8" s="1">
        <v>0.2</v>
      </c>
      <c r="E8" s="1">
        <v>0.3</v>
      </c>
      <c r="F8" s="1"/>
    </row>
    <row r="9" spans="2:6" x14ac:dyDescent="0.25">
      <c r="B9" s="1" t="s">
        <v>90</v>
      </c>
      <c r="C9" s="1">
        <v>0.1</v>
      </c>
      <c r="D9" s="1">
        <v>0.2</v>
      </c>
      <c r="E9" s="1">
        <v>0.3</v>
      </c>
      <c r="F9" s="1"/>
    </row>
    <row r="10" spans="2:6" x14ac:dyDescent="0.25">
      <c r="B10" s="1" t="s">
        <v>91</v>
      </c>
      <c r="C10" s="1">
        <v>1.8</v>
      </c>
      <c r="D10" s="1">
        <v>1.9</v>
      </c>
      <c r="E10" s="1">
        <v>2.7</v>
      </c>
      <c r="F10" s="1"/>
    </row>
    <row r="11" spans="2:6" x14ac:dyDescent="0.25">
      <c r="B11" s="3" t="s">
        <v>92</v>
      </c>
      <c r="C11" s="3">
        <f>SUM(C7:C10)</f>
        <v>5.3000000000000007</v>
      </c>
      <c r="D11" s="3">
        <f t="shared" ref="D11:E11" si="0">SUM(D7:D10)</f>
        <v>7.3000000000000007</v>
      </c>
      <c r="E11" s="3">
        <f t="shared" si="0"/>
        <v>15.5</v>
      </c>
      <c r="F11" s="1"/>
    </row>
    <row r="12" spans="2:6" x14ac:dyDescent="0.25">
      <c r="B12" s="29" t="s">
        <v>93</v>
      </c>
      <c r="C12" s="31">
        <f>C11/C29</f>
        <v>0.64634146341463417</v>
      </c>
      <c r="D12" s="31">
        <f t="shared" ref="D12:E12" si="1">D11/D29</f>
        <v>0.39673913043478259</v>
      </c>
      <c r="E12" s="31">
        <f t="shared" si="1"/>
        <v>0.35469107551487411</v>
      </c>
    </row>
    <row r="13" spans="2:6" x14ac:dyDescent="0.25">
      <c r="B13" s="29"/>
      <c r="C13" s="29"/>
      <c r="D13" s="29"/>
      <c r="E13" s="29"/>
    </row>
    <row r="14" spans="2:6" x14ac:dyDescent="0.25">
      <c r="B14" s="206" t="s">
        <v>94</v>
      </c>
      <c r="C14" s="206"/>
      <c r="D14" s="206"/>
      <c r="E14" s="206"/>
      <c r="F14" s="3">
        <v>4.5</v>
      </c>
    </row>
    <row r="15" spans="2:6" x14ac:dyDescent="0.25">
      <c r="B15" s="1" t="s">
        <v>95</v>
      </c>
      <c r="C15" s="1">
        <v>0.4</v>
      </c>
      <c r="D15" s="1">
        <v>0.4</v>
      </c>
      <c r="E15" s="1">
        <v>0.5</v>
      </c>
      <c r="F15" s="1"/>
    </row>
    <row r="16" spans="2:6" x14ac:dyDescent="0.25">
      <c r="B16" s="1" t="s">
        <v>96</v>
      </c>
      <c r="C16" s="1">
        <v>0</v>
      </c>
      <c r="D16" s="1">
        <v>0</v>
      </c>
      <c r="E16" s="1">
        <v>0</v>
      </c>
      <c r="F16" s="1"/>
    </row>
    <row r="17" spans="2:6" x14ac:dyDescent="0.25">
      <c r="B17" s="1" t="s">
        <v>97</v>
      </c>
      <c r="C17" s="1">
        <v>0</v>
      </c>
      <c r="D17" s="1">
        <v>0</v>
      </c>
      <c r="E17" s="1">
        <v>0</v>
      </c>
      <c r="F17" s="1"/>
    </row>
    <row r="18" spans="2:6" x14ac:dyDescent="0.25">
      <c r="B18" s="1" t="s">
        <v>98</v>
      </c>
      <c r="C18" s="1">
        <v>1</v>
      </c>
      <c r="D18" s="1">
        <v>5.4</v>
      </c>
      <c r="E18" s="1">
        <v>17.100000000000001</v>
      </c>
      <c r="F18" s="1"/>
    </row>
    <row r="19" spans="2:6" x14ac:dyDescent="0.25">
      <c r="B19" s="1" t="s">
        <v>99</v>
      </c>
      <c r="C19" s="1">
        <v>0.2</v>
      </c>
      <c r="D19" s="1">
        <v>1.2</v>
      </c>
      <c r="E19" s="1">
        <v>3.6</v>
      </c>
      <c r="F19" s="1"/>
    </row>
    <row r="20" spans="2:6" x14ac:dyDescent="0.25">
      <c r="B20" s="3" t="s">
        <v>92</v>
      </c>
      <c r="C20" s="3">
        <f>SUM(C15:C19)</f>
        <v>1.5999999999999999</v>
      </c>
      <c r="D20" s="3">
        <f t="shared" ref="D20:E20" si="2">SUM(D15:D19)</f>
        <v>7.0000000000000009</v>
      </c>
      <c r="E20" s="3">
        <f t="shared" si="2"/>
        <v>21.200000000000003</v>
      </c>
      <c r="F20" s="1"/>
    </row>
    <row r="21" spans="2:6" x14ac:dyDescent="0.25">
      <c r="B21" s="29" t="s">
        <v>93</v>
      </c>
      <c r="C21" s="31">
        <f>C20/C29</f>
        <v>0.19512195121951215</v>
      </c>
      <c r="D21" s="31">
        <f t="shared" ref="D21:E21" si="3">D20/D29</f>
        <v>0.38043478260869568</v>
      </c>
      <c r="E21" s="31">
        <f t="shared" si="3"/>
        <v>0.48512585812356984</v>
      </c>
    </row>
    <row r="22" spans="2:6" x14ac:dyDescent="0.25">
      <c r="B22" s="29"/>
      <c r="C22" s="29"/>
      <c r="D22" s="29"/>
      <c r="E22" s="29"/>
    </row>
    <row r="23" spans="2:6" x14ac:dyDescent="0.25">
      <c r="B23" s="206" t="s">
        <v>87</v>
      </c>
      <c r="C23" s="206"/>
      <c r="D23" s="206"/>
      <c r="E23" s="206"/>
      <c r="F23" s="3">
        <v>15</v>
      </c>
    </row>
    <row r="24" spans="2:6" x14ac:dyDescent="0.25">
      <c r="B24" s="1" t="s">
        <v>100</v>
      </c>
      <c r="C24" s="1">
        <v>1.3</v>
      </c>
      <c r="D24" s="1">
        <v>3.9</v>
      </c>
      <c r="E24" s="1">
        <v>6.5</v>
      </c>
      <c r="F24" s="1"/>
    </row>
    <row r="25" spans="2:6" x14ac:dyDescent="0.25">
      <c r="B25" s="1" t="s">
        <v>101</v>
      </c>
      <c r="C25" s="1"/>
      <c r="D25" s="1">
        <v>0.1</v>
      </c>
      <c r="E25" s="1">
        <v>0.3</v>
      </c>
      <c r="F25" s="1"/>
    </row>
    <row r="26" spans="2:6" x14ac:dyDescent="0.25">
      <c r="B26" s="1" t="s">
        <v>102</v>
      </c>
      <c r="C26" s="1"/>
      <c r="D26" s="1">
        <v>0.1</v>
      </c>
      <c r="E26" s="1">
        <v>0.2</v>
      </c>
      <c r="F26" s="1"/>
    </row>
    <row r="27" spans="2:6" x14ac:dyDescent="0.25">
      <c r="B27" s="3" t="s">
        <v>92</v>
      </c>
      <c r="C27" s="3">
        <f>SUM(C24:C26)</f>
        <v>1.3</v>
      </c>
      <c r="D27" s="3">
        <f t="shared" ref="D27:E27" si="4">SUM(D24:D26)</f>
        <v>4.0999999999999996</v>
      </c>
      <c r="E27" s="3">
        <f t="shared" si="4"/>
        <v>7</v>
      </c>
      <c r="F27" s="1"/>
    </row>
    <row r="28" spans="2:6" x14ac:dyDescent="0.25">
      <c r="B28" s="29" t="s">
        <v>93</v>
      </c>
      <c r="C28" s="32">
        <f>C27/C29</f>
        <v>0.15853658536585363</v>
      </c>
      <c r="D28" s="32">
        <f t="shared" ref="D28:E28" si="5">D27/D29</f>
        <v>0.2228260869565217</v>
      </c>
      <c r="E28" s="32">
        <f t="shared" si="5"/>
        <v>0.16018306636155605</v>
      </c>
      <c r="F28" s="1"/>
    </row>
    <row r="29" spans="2:6" x14ac:dyDescent="0.25">
      <c r="B29" s="3" t="s">
        <v>92</v>
      </c>
      <c r="C29" s="3">
        <f>C27+C20+C11</f>
        <v>8.2000000000000011</v>
      </c>
      <c r="D29" s="3">
        <f t="shared" ref="D29:E29" si="6">D27+D20+D11</f>
        <v>18.400000000000002</v>
      </c>
      <c r="E29" s="3">
        <f t="shared" si="6"/>
        <v>43.7</v>
      </c>
      <c r="F29" s="1"/>
    </row>
    <row r="30" spans="2:6" x14ac:dyDescent="0.25">
      <c r="B30" s="29" t="s">
        <v>93</v>
      </c>
      <c r="C30" s="32">
        <f>C28+C21+C12</f>
        <v>1</v>
      </c>
      <c r="D30" s="32">
        <f t="shared" ref="D30:E30" si="7">D28+D21+D12</f>
        <v>1</v>
      </c>
      <c r="E30" s="32">
        <f t="shared" si="7"/>
        <v>1</v>
      </c>
    </row>
    <row r="32" spans="2:6" x14ac:dyDescent="0.25">
      <c r="B32" s="29" t="s">
        <v>103</v>
      </c>
      <c r="C32" s="13">
        <f>(C27*$F$23+C20*$F14+C11*$F6)/C29</f>
        <v>9.0731707317073162</v>
      </c>
      <c r="D32" s="13">
        <f>(D27*$F$23+D20*$F14+D11*$F6)/D29</f>
        <v>8.6249999999999982</v>
      </c>
      <c r="E32" s="13">
        <f>(E27*$F$23+E20*$F14+E11*$F6)/E29</f>
        <v>7.7780320366132711</v>
      </c>
    </row>
  </sheetData>
  <mergeCells count="4">
    <mergeCell ref="B14:E14"/>
    <mergeCell ref="B6:E6"/>
    <mergeCell ref="B23:E23"/>
    <mergeCell ref="B1: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EE12D-C36B-4D57-8DBC-FEC92CF5F1E7}">
  <dimension ref="B1:O31"/>
  <sheetViews>
    <sheetView topLeftCell="A10" zoomScale="60" zoomScaleNormal="60" workbookViewId="0">
      <selection activeCell="B1" sqref="B1:H7"/>
    </sheetView>
  </sheetViews>
  <sheetFormatPr baseColWidth="10" defaultColWidth="11.42578125" defaultRowHeight="15" x14ac:dyDescent="0.25"/>
  <cols>
    <col min="2" max="2" width="20.5703125" customWidth="1"/>
    <col min="9" max="9" width="11.5703125" bestFit="1" customWidth="1"/>
    <col min="10" max="15" width="12.5703125" bestFit="1" customWidth="1"/>
  </cols>
  <sheetData>
    <row r="1" spans="2:15" ht="15" customHeight="1" x14ac:dyDescent="0.25">
      <c r="B1" s="207" t="s">
        <v>104</v>
      </c>
      <c r="C1" s="207"/>
      <c r="D1" s="207"/>
      <c r="E1" s="207"/>
      <c r="F1" s="207"/>
      <c r="G1" s="207"/>
      <c r="H1" s="207"/>
      <c r="I1" s="35"/>
      <c r="J1" s="35"/>
    </row>
    <row r="2" spans="2:15" x14ac:dyDescent="0.25">
      <c r="B2" s="207"/>
      <c r="C2" s="207"/>
      <c r="D2" s="207"/>
      <c r="E2" s="207"/>
      <c r="F2" s="207"/>
      <c r="G2" s="207"/>
      <c r="H2" s="207"/>
      <c r="I2" s="35"/>
      <c r="J2" s="35"/>
    </row>
    <row r="3" spans="2:15" x14ac:dyDescent="0.25">
      <c r="B3" s="207"/>
      <c r="C3" s="207"/>
      <c r="D3" s="207"/>
      <c r="E3" s="207"/>
      <c r="F3" s="207"/>
      <c r="G3" s="207"/>
      <c r="H3" s="207"/>
      <c r="I3" s="35"/>
      <c r="J3" s="35"/>
    </row>
    <row r="4" spans="2:15" x14ac:dyDescent="0.25">
      <c r="B4" s="207"/>
      <c r="C4" s="207"/>
      <c r="D4" s="207"/>
      <c r="E4" s="207"/>
      <c r="F4" s="207"/>
      <c r="G4" s="207"/>
      <c r="H4" s="207"/>
      <c r="I4" s="35"/>
      <c r="J4" s="35"/>
    </row>
    <row r="5" spans="2:15" x14ac:dyDescent="0.25">
      <c r="B5" s="207"/>
      <c r="C5" s="207"/>
      <c r="D5" s="207"/>
      <c r="E5" s="207"/>
      <c r="F5" s="207"/>
      <c r="G5" s="207"/>
      <c r="H5" s="207"/>
      <c r="I5" s="35"/>
      <c r="J5" s="35"/>
    </row>
    <row r="6" spans="2:15" x14ac:dyDescent="0.25">
      <c r="B6" s="207"/>
      <c r="C6" s="207"/>
      <c r="D6" s="207"/>
      <c r="E6" s="207"/>
      <c r="F6" s="207"/>
      <c r="G6" s="207"/>
      <c r="H6" s="207"/>
      <c r="I6" s="35"/>
      <c r="J6" s="35"/>
    </row>
    <row r="7" spans="2:15" x14ac:dyDescent="0.25">
      <c r="B7" s="207"/>
      <c r="C7" s="207"/>
      <c r="D7" s="207"/>
      <c r="E7" s="207"/>
      <c r="F7" s="207"/>
      <c r="G7" s="207"/>
      <c r="H7" s="207"/>
      <c r="I7" s="152"/>
      <c r="J7" s="152"/>
    </row>
    <row r="8" spans="2:15" ht="17.25" customHeight="1" x14ac:dyDescent="0.25">
      <c r="B8" s="207" t="s">
        <v>105</v>
      </c>
      <c r="C8" s="207"/>
      <c r="D8" s="207"/>
      <c r="E8" s="207"/>
      <c r="F8" s="207"/>
      <c r="G8" s="207"/>
      <c r="H8" s="207"/>
      <c r="I8" s="152"/>
      <c r="J8" s="152"/>
    </row>
    <row r="9" spans="2:15" ht="17.25" customHeight="1" x14ac:dyDescent="0.25">
      <c r="B9" s="207"/>
      <c r="C9" s="207"/>
      <c r="D9" s="207"/>
      <c r="E9" s="207"/>
      <c r="F9" s="207"/>
      <c r="G9" s="207"/>
      <c r="H9" s="207"/>
      <c r="I9" s="152"/>
      <c r="J9" s="152"/>
    </row>
    <row r="10" spans="2:15" ht="17.25" customHeight="1" x14ac:dyDescent="0.25">
      <c r="B10" s="207"/>
      <c r="C10" s="207"/>
      <c r="D10" s="207"/>
      <c r="E10" s="207"/>
      <c r="F10" s="207"/>
      <c r="G10" s="207"/>
      <c r="H10" s="207"/>
      <c r="I10" s="152"/>
      <c r="J10" s="152"/>
    </row>
    <row r="11" spans="2:15" ht="17.25" customHeight="1" x14ac:dyDescent="0.25">
      <c r="B11" s="207"/>
      <c r="C11" s="207"/>
      <c r="D11" s="207"/>
      <c r="E11" s="207"/>
      <c r="F11" s="207"/>
      <c r="G11" s="207"/>
      <c r="H11" s="207"/>
      <c r="I11" s="152"/>
      <c r="J11" s="152"/>
    </row>
    <row r="12" spans="2:15" ht="17.25" customHeight="1" x14ac:dyDescent="0.25">
      <c r="B12" s="207"/>
      <c r="C12" s="207"/>
      <c r="D12" s="207"/>
      <c r="E12" s="207"/>
      <c r="F12" s="207"/>
      <c r="G12" s="207"/>
      <c r="H12" s="207"/>
      <c r="I12" s="152"/>
      <c r="J12" s="152"/>
    </row>
    <row r="13" spans="2:15" ht="17.25" customHeight="1" x14ac:dyDescent="0.25">
      <c r="B13" s="35"/>
      <c r="C13" s="35"/>
      <c r="D13" s="35"/>
      <c r="E13" s="35"/>
      <c r="F13" s="35"/>
      <c r="G13" s="35"/>
      <c r="H13" s="35"/>
      <c r="I13" s="152"/>
      <c r="J13" s="152"/>
    </row>
    <row r="14" spans="2:15" ht="17.25" customHeight="1" x14ac:dyDescent="0.25">
      <c r="B14" s="152"/>
      <c r="C14" s="152"/>
      <c r="D14" s="152"/>
      <c r="E14" s="152"/>
      <c r="F14" s="152"/>
      <c r="G14" s="152"/>
      <c r="H14" s="152"/>
      <c r="I14" s="152"/>
      <c r="J14" s="152"/>
    </row>
    <row r="15" spans="2:15" x14ac:dyDescent="0.25">
      <c r="B15" s="34"/>
      <c r="C15" s="152"/>
      <c r="D15" s="152"/>
      <c r="E15" s="152"/>
      <c r="F15" s="152"/>
      <c r="G15" s="152"/>
      <c r="H15" s="152"/>
      <c r="I15" s="152"/>
      <c r="J15" s="152"/>
    </row>
    <row r="16" spans="2:15" ht="15" customHeight="1" x14ac:dyDescent="0.25">
      <c r="B16" s="41" t="s">
        <v>106</v>
      </c>
      <c r="C16" s="41"/>
      <c r="D16" s="41"/>
      <c r="E16" s="41"/>
      <c r="F16" s="41"/>
      <c r="G16" s="41"/>
      <c r="H16" s="41"/>
      <c r="I16" s="41"/>
      <c r="J16" s="41"/>
      <c r="K16" s="41"/>
      <c r="L16" s="41"/>
      <c r="M16" s="41"/>
      <c r="N16" s="41"/>
      <c r="O16" s="41"/>
    </row>
    <row r="17" spans="2:15" x14ac:dyDescent="0.25">
      <c r="B17" s="1" t="s">
        <v>2</v>
      </c>
      <c r="C17" s="1">
        <v>2016</v>
      </c>
      <c r="D17" s="1">
        <v>2017</v>
      </c>
      <c r="E17" s="1">
        <v>2018</v>
      </c>
      <c r="F17" s="1">
        <v>2019</v>
      </c>
      <c r="G17" s="1">
        <v>2020</v>
      </c>
      <c r="H17" s="1">
        <v>2021</v>
      </c>
      <c r="I17" s="1">
        <v>2022</v>
      </c>
      <c r="J17" s="1">
        <v>2023</v>
      </c>
      <c r="K17" s="1">
        <v>2024</v>
      </c>
      <c r="L17" s="1">
        <v>2025</v>
      </c>
      <c r="M17" s="1">
        <v>2026</v>
      </c>
      <c r="N17" s="1">
        <v>2027</v>
      </c>
      <c r="O17" s="1">
        <v>2028</v>
      </c>
    </row>
    <row r="18" spans="2:15" x14ac:dyDescent="0.25">
      <c r="B18" s="1" t="s">
        <v>107</v>
      </c>
      <c r="C18" s="217">
        <v>8.1999999999999993</v>
      </c>
      <c r="D18" s="218"/>
      <c r="E18" s="219"/>
      <c r="F18" s="217">
        <v>18</v>
      </c>
      <c r="G18" s="218"/>
      <c r="H18" s="218"/>
      <c r="I18" s="218"/>
      <c r="J18" s="219"/>
      <c r="K18" s="217">
        <v>43.9</v>
      </c>
      <c r="L18" s="218"/>
      <c r="M18" s="218"/>
      <c r="N18" s="218"/>
      <c r="O18" s="219"/>
    </row>
    <row r="19" spans="2:15" ht="30" customHeight="1" x14ac:dyDescent="0.25">
      <c r="B19" s="11" t="s">
        <v>108</v>
      </c>
      <c r="C19" s="213">
        <f>SUM(C20:E20)/3</f>
        <v>8.1666666666666661</v>
      </c>
      <c r="D19" s="214"/>
      <c r="E19" s="215"/>
      <c r="F19" s="216">
        <f>SUM(F20:J20)/5</f>
        <v>18.603999999999999</v>
      </c>
      <c r="G19" s="216"/>
      <c r="H19" s="216"/>
      <c r="I19" s="216"/>
      <c r="J19" s="216"/>
      <c r="K19" s="216">
        <f>SUM(K20:O20)/5</f>
        <v>44.50490807500799</v>
      </c>
      <c r="L19" s="216"/>
      <c r="M19" s="216"/>
      <c r="N19" s="216"/>
      <c r="O19" s="216"/>
    </row>
    <row r="20" spans="2:15" x14ac:dyDescent="0.25">
      <c r="B20" s="1" t="s">
        <v>109</v>
      </c>
      <c r="C20" s="3">
        <v>6.5</v>
      </c>
      <c r="D20" s="3">
        <v>8</v>
      </c>
      <c r="E20" s="3">
        <f>D20*1.25</f>
        <v>10</v>
      </c>
      <c r="F20" s="3">
        <f>E20*1.25</f>
        <v>12.5</v>
      </c>
      <c r="G20" s="3">
        <f t="shared" ref="G20:J20" si="0">F20*1.2</f>
        <v>15</v>
      </c>
      <c r="H20" s="10">
        <f t="shared" si="0"/>
        <v>18</v>
      </c>
      <c r="I20" s="10">
        <f t="shared" si="0"/>
        <v>21.599999999999998</v>
      </c>
      <c r="J20" s="10">
        <f t="shared" si="0"/>
        <v>25.919999999999998</v>
      </c>
      <c r="K20" s="10">
        <f>J20*1.2</f>
        <v>31.103999999999996</v>
      </c>
      <c r="L20" s="10">
        <f t="shared" ref="L20:O20" si="1">K20*1.18</f>
        <v>36.702719999999992</v>
      </c>
      <c r="M20" s="10">
        <f t="shared" si="1"/>
        <v>43.309209599999988</v>
      </c>
      <c r="N20" s="10">
        <f t="shared" si="1"/>
        <v>51.104867327999983</v>
      </c>
      <c r="O20" s="10">
        <f t="shared" si="1"/>
        <v>60.303743447039977</v>
      </c>
    </row>
    <row r="22" spans="2:15" ht="15" customHeight="1" x14ac:dyDescent="0.25">
      <c r="B22" s="208" t="s">
        <v>110</v>
      </c>
      <c r="C22" s="208"/>
      <c r="D22" s="208"/>
      <c r="E22" s="208"/>
      <c r="F22" s="208"/>
      <c r="G22" s="208"/>
      <c r="H22" s="208"/>
      <c r="I22" s="208"/>
      <c r="J22" s="208"/>
      <c r="K22" s="208"/>
      <c r="L22" s="208"/>
      <c r="M22" s="208"/>
      <c r="N22" s="208"/>
      <c r="O22" s="208"/>
    </row>
    <row r="23" spans="2:15" x14ac:dyDescent="0.25">
      <c r="B23" s="1" t="s">
        <v>2</v>
      </c>
      <c r="C23" s="1">
        <v>2016</v>
      </c>
      <c r="D23" s="1">
        <v>2017</v>
      </c>
      <c r="E23" s="1">
        <v>2018</v>
      </c>
      <c r="F23" s="1">
        <v>2019</v>
      </c>
      <c r="G23" s="1">
        <v>2020</v>
      </c>
      <c r="H23" s="1">
        <v>2021</v>
      </c>
      <c r="I23" s="1">
        <v>2022</v>
      </c>
      <c r="J23" s="1">
        <v>2023</v>
      </c>
      <c r="K23" s="1">
        <v>2024</v>
      </c>
      <c r="L23" s="1">
        <v>2025</v>
      </c>
      <c r="M23" s="1">
        <v>2026</v>
      </c>
      <c r="N23" s="1">
        <v>2027</v>
      </c>
      <c r="O23" s="1">
        <v>2028</v>
      </c>
    </row>
    <row r="24" spans="2:15" ht="30" customHeight="1" x14ac:dyDescent="0.25">
      <c r="B24" s="11" t="s">
        <v>108</v>
      </c>
      <c r="C24" s="213">
        <f>SUM(C25:E25)/3</f>
        <v>8.2248484848484846</v>
      </c>
      <c r="D24" s="214"/>
      <c r="E24" s="215"/>
      <c r="F24" s="212">
        <f>SUM(F25:J25)/5</f>
        <v>12.114960440000003</v>
      </c>
      <c r="G24" s="212"/>
      <c r="H24" s="212"/>
      <c r="I24" s="212"/>
      <c r="J24" s="212"/>
      <c r="K24" s="212">
        <f>SUM(K25:O25)/5</f>
        <v>19.511264938224411</v>
      </c>
      <c r="L24" s="212"/>
      <c r="M24" s="212"/>
      <c r="N24" s="212"/>
      <c r="O24" s="212"/>
    </row>
    <row r="25" spans="2:15" x14ac:dyDescent="0.25">
      <c r="B25" s="1" t="s">
        <v>109</v>
      </c>
      <c r="C25" s="3">
        <f>D25/1.1</f>
        <v>7.4545454545454533</v>
      </c>
      <c r="D25" s="3">
        <v>8.1999999999999993</v>
      </c>
      <c r="E25" s="27">
        <f>D25*1.1</f>
        <v>9.02</v>
      </c>
      <c r="F25" s="27">
        <f t="shared" ref="F25:O25" si="2">E25*1.1</f>
        <v>9.9220000000000006</v>
      </c>
      <c r="G25" s="27">
        <f t="shared" si="2"/>
        <v>10.914200000000001</v>
      </c>
      <c r="H25" s="27">
        <f t="shared" si="2"/>
        <v>12.005620000000002</v>
      </c>
      <c r="I25" s="27">
        <f t="shared" si="2"/>
        <v>13.206182000000004</v>
      </c>
      <c r="J25" s="27">
        <f t="shared" si="2"/>
        <v>14.526800200000006</v>
      </c>
      <c r="K25" s="27">
        <f t="shared" si="2"/>
        <v>15.979480220000008</v>
      </c>
      <c r="L25" s="27">
        <f t="shared" si="2"/>
        <v>17.577428242000011</v>
      </c>
      <c r="M25" s="27">
        <f t="shared" si="2"/>
        <v>19.335171066200012</v>
      </c>
      <c r="N25" s="27">
        <f t="shared" si="2"/>
        <v>21.268688172820013</v>
      </c>
      <c r="O25" s="27">
        <f t="shared" si="2"/>
        <v>23.395556990102016</v>
      </c>
    </row>
    <row r="27" spans="2:15" x14ac:dyDescent="0.25">
      <c r="B27" s="208" t="s">
        <v>111</v>
      </c>
      <c r="C27" s="208"/>
      <c r="D27" s="208"/>
      <c r="E27" s="208"/>
      <c r="F27" s="208"/>
      <c r="G27" s="208"/>
      <c r="H27" s="208"/>
      <c r="I27" s="208"/>
      <c r="J27" s="208"/>
      <c r="K27" s="208"/>
      <c r="L27" s="208"/>
      <c r="M27" s="208"/>
      <c r="N27" s="208"/>
      <c r="O27" s="208"/>
    </row>
    <row r="28" spans="2:15" x14ac:dyDescent="0.25">
      <c r="B28" s="1" t="s">
        <v>2</v>
      </c>
      <c r="C28" s="1">
        <v>2016</v>
      </c>
      <c r="D28" s="1">
        <v>2017</v>
      </c>
      <c r="E28" s="1">
        <v>2018</v>
      </c>
      <c r="F28" s="1">
        <v>2019</v>
      </c>
      <c r="G28" s="1">
        <v>2020</v>
      </c>
      <c r="H28" s="1">
        <v>2021</v>
      </c>
      <c r="I28" s="1">
        <v>2022</v>
      </c>
      <c r="J28" s="1">
        <v>2023</v>
      </c>
      <c r="K28" s="1">
        <v>2024</v>
      </c>
      <c r="L28" s="1">
        <v>2025</v>
      </c>
      <c r="M28" s="1">
        <v>2026</v>
      </c>
      <c r="N28" s="1">
        <v>2027</v>
      </c>
      <c r="O28" s="1">
        <v>2028</v>
      </c>
    </row>
    <row r="29" spans="2:15" ht="30" customHeight="1" x14ac:dyDescent="0.25">
      <c r="B29" s="11" t="s">
        <v>108</v>
      </c>
      <c r="C29" s="209">
        <f>SUM(C30:E30)/3</f>
        <v>8.2819999999999983</v>
      </c>
      <c r="D29" s="210"/>
      <c r="E29" s="211"/>
      <c r="F29" s="212">
        <f>SUM(F30:J30)/5</f>
        <v>9.2372379765595607</v>
      </c>
      <c r="G29" s="212"/>
      <c r="H29" s="212"/>
      <c r="I29" s="212"/>
      <c r="J29" s="212"/>
      <c r="K29" s="212">
        <f>SUM(K30:O30)/5</f>
        <v>10.708490504364891</v>
      </c>
      <c r="L29" s="212"/>
      <c r="M29" s="212"/>
      <c r="N29" s="212"/>
      <c r="O29" s="212"/>
    </row>
    <row r="30" spans="2:15" x14ac:dyDescent="0.25">
      <c r="B30" s="1" t="s">
        <v>109</v>
      </c>
      <c r="C30" s="10">
        <v>8.1999999999999993</v>
      </c>
      <c r="D30" s="10">
        <v>8.1999999999999993</v>
      </c>
      <c r="E30" s="10">
        <f>D30*'IMPACT banques GSF ROE+'!$D$5</f>
        <v>8.4459999999999997</v>
      </c>
      <c r="F30" s="10">
        <f>E30*'IMPACT banques GSF ROE+'!$D$5</f>
        <v>8.6993799999999997</v>
      </c>
      <c r="G30" s="10">
        <f>F30*'IMPACT banques GSF ROE+'!$D$5</f>
        <v>8.9603614</v>
      </c>
      <c r="H30" s="10">
        <f>G30*'IMPACT banques GSF ROE+'!$D$5</f>
        <v>9.2291722420000006</v>
      </c>
      <c r="I30" s="10">
        <f>H30*'IMPACT banques GSF ROE+'!$D$5</f>
        <v>9.5060474092600007</v>
      </c>
      <c r="J30" s="10">
        <f>I30*'IMPACT banques GSF ROE+'!$D$5</f>
        <v>9.7912288315378007</v>
      </c>
      <c r="K30" s="10">
        <f>J30*'IMPACT banques GSF ROE+'!$D$5</f>
        <v>10.084965696483936</v>
      </c>
      <c r="L30" s="10">
        <f>K30*'IMPACT banques GSF ROE+'!$D$5</f>
        <v>10.387514667378454</v>
      </c>
      <c r="M30" s="10">
        <f>L30*'IMPACT banques GSF ROE+'!$D$5</f>
        <v>10.699140107399808</v>
      </c>
      <c r="N30" s="10">
        <f>M30*'IMPACT banques GSF ROE+'!$D$5</f>
        <v>11.020114310621803</v>
      </c>
      <c r="O30" s="10">
        <f>N30*'IMPACT banques GSF ROE+'!$D$5</f>
        <v>11.350717739940459</v>
      </c>
    </row>
    <row r="31" spans="2:15" ht="12" customHeight="1" x14ac:dyDescent="0.25">
      <c r="H31" s="26"/>
      <c r="I31" s="26"/>
      <c r="J31" s="26"/>
      <c r="K31" s="26"/>
      <c r="L31" s="26"/>
      <c r="M31" s="26"/>
      <c r="N31" s="26"/>
      <c r="O31" s="26"/>
    </row>
  </sheetData>
  <mergeCells count="16">
    <mergeCell ref="B27:O27"/>
    <mergeCell ref="C29:E29"/>
    <mergeCell ref="F29:J29"/>
    <mergeCell ref="K29:O29"/>
    <mergeCell ref="B1:H7"/>
    <mergeCell ref="B8:H12"/>
    <mergeCell ref="B22:O22"/>
    <mergeCell ref="C24:E24"/>
    <mergeCell ref="F24:J24"/>
    <mergeCell ref="K24:O24"/>
    <mergeCell ref="F19:J19"/>
    <mergeCell ref="K19:O19"/>
    <mergeCell ref="C19:E19"/>
    <mergeCell ref="C18:E18"/>
    <mergeCell ref="K18:O18"/>
    <mergeCell ref="F18:J18"/>
  </mergeCells>
  <phoneticPr fontId="1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B4E79-BA11-43EA-AFF5-B69BBCC23ACD}">
  <dimension ref="D8:K23"/>
  <sheetViews>
    <sheetView zoomScale="50" zoomScaleNormal="50" workbookViewId="0">
      <selection activeCell="E15" sqref="E15"/>
    </sheetView>
  </sheetViews>
  <sheetFormatPr baseColWidth="10" defaultColWidth="11.42578125" defaultRowHeight="15" x14ac:dyDescent="0.25"/>
  <cols>
    <col min="4" max="4" width="19.28515625" customWidth="1"/>
    <col min="5" max="11" width="12.5703125" bestFit="1" customWidth="1"/>
  </cols>
  <sheetData>
    <row r="8" spans="4:11" x14ac:dyDescent="0.25">
      <c r="D8" s="1"/>
      <c r="E8" s="1">
        <v>2022</v>
      </c>
      <c r="F8" s="1">
        <v>2023</v>
      </c>
      <c r="G8" s="1">
        <v>2024</v>
      </c>
      <c r="H8" s="1">
        <v>2025</v>
      </c>
      <c r="I8" s="1">
        <v>2026</v>
      </c>
      <c r="J8" s="1">
        <v>2027</v>
      </c>
      <c r="K8" s="1">
        <v>2028</v>
      </c>
    </row>
    <row r="9" spans="4:11" ht="45" x14ac:dyDescent="0.25">
      <c r="D9" s="11" t="s">
        <v>112</v>
      </c>
      <c r="E9" s="149">
        <v>100</v>
      </c>
      <c r="F9" s="149">
        <f>E9*'IMPACT banques GSF ROE+'!$D$5</f>
        <v>103</v>
      </c>
      <c r="G9" s="149">
        <f>F9*'IMPACT banques GSF ROE+'!$D$5</f>
        <v>106.09</v>
      </c>
      <c r="H9" s="149">
        <f>G9*'IMPACT banques GSF ROE+'!$D$5</f>
        <v>109.2727</v>
      </c>
      <c r="I9" s="149">
        <f>H9*'IMPACT banques GSF ROE+'!$D$5</f>
        <v>112.550881</v>
      </c>
      <c r="J9" s="149">
        <f>I9*'IMPACT banques GSF ROE+'!$D$5</f>
        <v>115.92740743</v>
      </c>
      <c r="K9" s="149">
        <f>J9*'IMPACT banques GSF ROE+'!$D$5</f>
        <v>119.4052296529</v>
      </c>
    </row>
    <row r="10" spans="4:11" ht="45" x14ac:dyDescent="0.25">
      <c r="D10" s="11" t="s">
        <v>113</v>
      </c>
      <c r="E10" s="149">
        <v>100</v>
      </c>
      <c r="F10" s="149">
        <f>E10*1.2</f>
        <v>120</v>
      </c>
      <c r="G10" s="149">
        <f t="shared" ref="G10:K10" si="0">F10*1.2</f>
        <v>144</v>
      </c>
      <c r="H10" s="149">
        <f t="shared" si="0"/>
        <v>172.79999999999998</v>
      </c>
      <c r="I10" s="149">
        <f t="shared" si="0"/>
        <v>207.35999999999999</v>
      </c>
      <c r="J10" s="149">
        <f t="shared" si="0"/>
        <v>248.83199999999997</v>
      </c>
      <c r="K10" s="149">
        <f t="shared" si="0"/>
        <v>298.59839999999997</v>
      </c>
    </row>
    <row r="11" spans="4:11" ht="30" x14ac:dyDescent="0.25">
      <c r="D11" s="11" t="s">
        <v>114</v>
      </c>
      <c r="E11" s="2">
        <f>0.02*E10/E9</f>
        <v>0.02</v>
      </c>
      <c r="F11" s="2">
        <f>0.02*F10/F9</f>
        <v>2.3300970873786409E-2</v>
      </c>
      <c r="G11" s="2">
        <f t="shared" ref="G11:K11" si="1">0.02*G10/G9</f>
        <v>2.7146762183052123E-2</v>
      </c>
      <c r="H11" s="2">
        <f t="shared" si="1"/>
        <v>3.1627295747245189E-2</v>
      </c>
      <c r="I11" s="2">
        <f t="shared" si="1"/>
        <v>3.6847334851159444E-2</v>
      </c>
      <c r="J11" s="2">
        <f t="shared" si="1"/>
        <v>4.2928933807176058E-2</v>
      </c>
      <c r="K11" s="2">
        <f t="shared" si="1"/>
        <v>5.0014291814185693E-2</v>
      </c>
    </row>
    <row r="14" spans="4:11" x14ac:dyDescent="0.25">
      <c r="E14" s="102">
        <f>E10/E9</f>
        <v>1</v>
      </c>
      <c r="F14" s="102">
        <f t="shared" ref="F14:K14" si="2">F10/F9</f>
        <v>1.1650485436893203</v>
      </c>
      <c r="G14" s="102">
        <f t="shared" si="2"/>
        <v>1.3573381091526062</v>
      </c>
      <c r="H14" s="102">
        <f t="shared" si="2"/>
        <v>1.5813647873622596</v>
      </c>
      <c r="I14" s="102">
        <f t="shared" si="2"/>
        <v>1.8423667425579724</v>
      </c>
      <c r="J14" s="102">
        <f t="shared" si="2"/>
        <v>2.1464466903588026</v>
      </c>
      <c r="K14" s="102">
        <f t="shared" si="2"/>
        <v>2.5007145907092845</v>
      </c>
    </row>
    <row r="17" spans="4:11" x14ac:dyDescent="0.25">
      <c r="D17" s="150" t="s">
        <v>2</v>
      </c>
      <c r="E17" s="1">
        <v>2022</v>
      </c>
      <c r="F17" s="1">
        <v>2023</v>
      </c>
      <c r="G17" s="1">
        <v>2024</v>
      </c>
      <c r="H17" s="1">
        <v>2025</v>
      </c>
      <c r="I17" s="1">
        <v>2026</v>
      </c>
      <c r="J17" s="1">
        <v>2027</v>
      </c>
      <c r="K17" s="1">
        <v>2028</v>
      </c>
    </row>
    <row r="18" spans="4:11" ht="30" x14ac:dyDescent="0.25">
      <c r="D18" s="150" t="s">
        <v>115</v>
      </c>
      <c r="E18" s="103">
        <v>100</v>
      </c>
      <c r="F18" s="103">
        <f>E18*'IMPACT banques GSF ROE+'!$D$5</f>
        <v>103</v>
      </c>
      <c r="G18" s="103">
        <f>F18*'IMPACT banques GSF ROE+'!$D$5</f>
        <v>106.09</v>
      </c>
      <c r="H18" s="103">
        <f>G18*'IMPACT banques GSF ROE+'!$D$5</f>
        <v>109.2727</v>
      </c>
      <c r="I18" s="103">
        <f>H18*'IMPACT banques GSF ROE+'!$D$5</f>
        <v>112.550881</v>
      </c>
      <c r="J18" s="103">
        <f>I18*'IMPACT banques GSF ROE+'!$D$5</f>
        <v>115.92740743</v>
      </c>
      <c r="K18" s="103">
        <f>J18*'IMPACT banques GSF ROE+'!$D$5</f>
        <v>119.4052296529</v>
      </c>
    </row>
    <row r="19" spans="4:11" ht="45" x14ac:dyDescent="0.25">
      <c r="D19" s="150" t="s">
        <v>116</v>
      </c>
      <c r="E19" s="103">
        <f>E18*'IMPACT banques GSF ROE+'!$D$6</f>
        <v>12</v>
      </c>
      <c r="F19" s="103">
        <f>F18*'IMPACT banques GSF ROE+'!$D$6</f>
        <v>12.36</v>
      </c>
      <c r="G19" s="103">
        <f>G18*'IMPACT banques GSF ROE+'!$D$6</f>
        <v>12.7308</v>
      </c>
      <c r="H19" s="103">
        <f>H18*'IMPACT banques GSF ROE+'!$D$6</f>
        <v>13.112724</v>
      </c>
      <c r="I19" s="103">
        <f>I18*'IMPACT banques GSF ROE+'!$D$6</f>
        <v>13.506105720000001</v>
      </c>
      <c r="J19" s="103">
        <f>J18*'IMPACT banques GSF ROE+'!$D$6</f>
        <v>13.9112888916</v>
      </c>
      <c r="K19" s="103">
        <f>K18*'IMPACT banques GSF ROE+'!$D$6</f>
        <v>14.328627558348</v>
      </c>
    </row>
    <row r="20" spans="4:11" ht="30" x14ac:dyDescent="0.25">
      <c r="D20" s="151" t="s">
        <v>117</v>
      </c>
      <c r="E20" s="33">
        <v>0.02</v>
      </c>
      <c r="F20" s="33">
        <v>2.3300970873786409E-2</v>
      </c>
      <c r="G20" s="33">
        <v>2.7146762183052123E-2</v>
      </c>
      <c r="H20" s="33">
        <v>3.1627295747245189E-2</v>
      </c>
      <c r="I20" s="33">
        <v>3.6847334851159444E-2</v>
      </c>
      <c r="J20" s="33">
        <v>4.2928933807176058E-2</v>
      </c>
      <c r="K20" s="33">
        <v>5.0014291814185693E-2</v>
      </c>
    </row>
    <row r="21" spans="4:11" ht="45" x14ac:dyDescent="0.25">
      <c r="D21" s="150" t="s">
        <v>118</v>
      </c>
      <c r="E21" s="108">
        <v>0.24</v>
      </c>
      <c r="F21" s="108">
        <v>0.28799999999999998</v>
      </c>
      <c r="G21" s="108">
        <v>0.34559999999999996</v>
      </c>
      <c r="H21" s="108">
        <v>0.41471999999999992</v>
      </c>
      <c r="I21" s="108">
        <v>0.49766399999999994</v>
      </c>
      <c r="J21" s="108">
        <v>0.59719679999999997</v>
      </c>
      <c r="K21" s="108">
        <v>0.71663615999999986</v>
      </c>
    </row>
    <row r="22" spans="4:11" ht="45" x14ac:dyDescent="0.25">
      <c r="D22" s="150" t="s">
        <v>119</v>
      </c>
      <c r="E22" s="108">
        <v>0</v>
      </c>
      <c r="F22" s="108">
        <v>0</v>
      </c>
      <c r="G22" s="108">
        <v>0</v>
      </c>
      <c r="H22" s="108">
        <v>0</v>
      </c>
      <c r="I22" s="108">
        <v>9.1304347826086957E-2</v>
      </c>
      <c r="J22" s="108">
        <v>0.10956521739130434</v>
      </c>
      <c r="K22" s="108">
        <v>0.16765949656750573</v>
      </c>
    </row>
    <row r="23" spans="4:11" ht="30" x14ac:dyDescent="0.25">
      <c r="D23" s="151" t="s">
        <v>114</v>
      </c>
      <c r="E23" s="33">
        <v>2.3999999999999998E-3</v>
      </c>
      <c r="F23" s="33">
        <v>5.1262135922330102E-3</v>
      </c>
      <c r="G23" s="33">
        <v>8.2345178621924774E-3</v>
      </c>
      <c r="H23" s="33">
        <v>1.1789953025778625E-2</v>
      </c>
      <c r="I23" s="33">
        <v>1.5057009213227864E-2</v>
      </c>
      <c r="J23" s="33">
        <v>1.88248084138373E-2</v>
      </c>
      <c r="K23" s="33">
        <v>2.2874106152257358E-2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565D2027CB5C43B896265DB26BF053" ma:contentTypeVersion="15" ma:contentTypeDescription="Crée un document." ma:contentTypeScope="" ma:versionID="df6b7b0b04c05a1cd557d980648ebe59">
  <xsd:schema xmlns:xsd="http://www.w3.org/2001/XMLSchema" xmlns:xs="http://www.w3.org/2001/XMLSchema" xmlns:p="http://schemas.microsoft.com/office/2006/metadata/properties" xmlns:ns1="http://schemas.microsoft.com/sharepoint/v3" xmlns:ns2="6d25fa36-6e92-4a8c-bcd7-8d2e2e5dc1cc" xmlns:ns3="2a193445-8f29-4d28-b3a3-ce6182a987ad" targetNamespace="http://schemas.microsoft.com/office/2006/metadata/properties" ma:root="true" ma:fieldsID="c33d7f6f1bb9144500a5bc6e265ecd3b" ns1:_="" ns2:_="" ns3:_="">
    <xsd:import namespace="http://schemas.microsoft.com/sharepoint/v3"/>
    <xsd:import namespace="6d25fa36-6e92-4a8c-bcd7-8d2e2e5dc1cc"/>
    <xsd:import namespace="2a193445-8f29-4d28-b3a3-ce6182a987a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25fa36-6e92-4a8c-bcd7-8d2e2e5dc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193445-8f29-4d28-b3a3-ce6182a987ad"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C58CE2-8602-42B3-81C9-137A848092E6}">
  <ds:schemaRefs>
    <ds:schemaRef ds:uri="http://schemas.microsoft.com/office/2006/metadata/properties"/>
    <ds:schemaRef ds:uri="http://schemas.openxmlformats.org/package/2006/metadata/core-properties"/>
    <ds:schemaRef ds:uri="2a193445-8f29-4d28-b3a3-ce6182a987ad"/>
    <ds:schemaRef ds:uri="http://schemas.microsoft.com/sharepoint/v3"/>
    <ds:schemaRef ds:uri="http://purl.org/dc/dcmitype/"/>
    <ds:schemaRef ds:uri="6d25fa36-6e92-4a8c-bcd7-8d2e2e5dc1cc"/>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A9D49DEF-EE6F-4D56-8EC0-9401F1D81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25fa36-6e92-4a8c-bcd7-8d2e2e5dc1cc"/>
    <ds:schemaRef ds:uri="2a193445-8f29-4d28-b3a3-ce6182a98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972D4C-B628-47C0-A39A-71D5362E0D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IMPACT banques GSF ROE+</vt:lpstr>
      <vt:lpstr>Effects on the credit</vt:lpstr>
      <vt:lpstr>Eligible portfolio calculation</vt:lpstr>
      <vt:lpstr>Maturity models</vt:lpstr>
      <vt:lpstr>Climate investments</vt:lpstr>
      <vt:lpstr>Feuil2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CHAMBERLIN</dc:creator>
  <cp:keywords/>
  <dc:description/>
  <cp:lastModifiedBy>Julie EVAIN</cp:lastModifiedBy>
  <cp:revision/>
  <dcterms:created xsi:type="dcterms:W3CDTF">2015-06-05T18:19:34Z</dcterms:created>
  <dcterms:modified xsi:type="dcterms:W3CDTF">2021-10-27T04:55:33Z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0x01010043565D2027CB5C43B896265DB26BF053</vt:lpwstr>
  </property>
</Properties>
</file>