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https://i4ce-my.sharepoint.com/personal/benjamin_chamberlin_i4ce_org/Documents/Bureau/"/>
    </mc:Choice>
  </mc:AlternateContent>
  <xr:revisionPtr revIDLastSave="7" documentId="8_{6D12A03F-424D-4E3E-9A87-29579CAE11C5}" xr6:coauthVersionLast="46" xr6:coauthVersionMax="46" xr10:uidLastSave="{F8D65C5E-FEDB-4AB4-B89B-1F743A655340}"/>
  <bookViews>
    <workbookView xWindow="-120" yWindow="-120" windowWidth="24240" windowHeight="13140" xr2:uid="{00000000-000D-0000-FFFF-FFFF00000000}"/>
  </bookViews>
  <sheets>
    <sheet name="Impact secteur bancaire BPF" sheetId="7" r:id="rId1"/>
    <sheet name="Effet sur le crédit" sheetId="8" r:id="rId2"/>
    <sheet name="Calcul du rythme de sortie"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16" i="7" l="1"/>
  <c r="AI17" i="7" s="1"/>
  <c r="AJ16" i="7"/>
  <c r="AJ17" i="7" s="1"/>
  <c r="AK16" i="7"/>
  <c r="AL16" i="7"/>
  <c r="AL17" i="7" s="1"/>
  <c r="AH16" i="7"/>
  <c r="AH17" i="7" s="1"/>
  <c r="AF16" i="7"/>
  <c r="AG16" i="7"/>
  <c r="AG17" i="7" s="1"/>
  <c r="AA16" i="7"/>
  <c r="AA17" i="7" s="1"/>
  <c r="AB16" i="7"/>
  <c r="AB17" i="7" s="1"/>
  <c r="AC16" i="7"/>
  <c r="AC17" i="7" s="1"/>
  <c r="AD16" i="7"/>
  <c r="AD17" i="7" s="1"/>
  <c r="AE16" i="7"/>
  <c r="AE17" i="7" s="1"/>
  <c r="Z16" i="7"/>
  <c r="Z17" i="7" s="1"/>
  <c r="AI13" i="7"/>
  <c r="AI14" i="7" s="1"/>
  <c r="AJ13" i="7"/>
  <c r="AJ14" i="7" s="1"/>
  <c r="AK13" i="7"/>
  <c r="AK14" i="7" s="1"/>
  <c r="AL13" i="7"/>
  <c r="AL14" i="7" s="1"/>
  <c r="AH13" i="7"/>
  <c r="AH14" i="7" s="1"/>
  <c r="AA13" i="7"/>
  <c r="AA14" i="7" s="1"/>
  <c r="AB13" i="7"/>
  <c r="AB14" i="7" s="1"/>
  <c r="AC13" i="7"/>
  <c r="AC14" i="7" s="1"/>
  <c r="AD13" i="7"/>
  <c r="AE13" i="7"/>
  <c r="AE14" i="7" s="1"/>
  <c r="AF13" i="7"/>
  <c r="AF14" i="7" s="1"/>
  <c r="AG13" i="7"/>
  <c r="AG14" i="7" s="1"/>
  <c r="Z13" i="7"/>
  <c r="Z14" i="7" s="1"/>
  <c r="C7" i="10"/>
  <c r="D7" i="10"/>
  <c r="C8" i="10"/>
  <c r="D8" i="10"/>
  <c r="Y16" i="7"/>
  <c r="Y17" i="7" s="1"/>
  <c r="X16" i="7"/>
  <c r="X17" i="7" s="1"/>
  <c r="Y13" i="7"/>
  <c r="Y14" i="7" s="1"/>
  <c r="X13" i="7"/>
  <c r="X14" i="7" s="1"/>
  <c r="AK17" i="7"/>
  <c r="AF17" i="7"/>
  <c r="AD14" i="7"/>
  <c r="AI10" i="7"/>
  <c r="AI11" i="7" s="1"/>
  <c r="AJ10" i="7"/>
  <c r="AJ11" i="7" s="1"/>
  <c r="AK10" i="7"/>
  <c r="AK11" i="7" s="1"/>
  <c r="AL10" i="7"/>
  <c r="AL11" i="7" s="1"/>
  <c r="AH10" i="7"/>
  <c r="AH11" i="7" s="1"/>
  <c r="AA10" i="7"/>
  <c r="AB10" i="7"/>
  <c r="AB11" i="7" s="1"/>
  <c r="AC10" i="7"/>
  <c r="AD10" i="7"/>
  <c r="AE10" i="7"/>
  <c r="AF10" i="7"/>
  <c r="AF11" i="7" s="1"/>
  <c r="AG10" i="7"/>
  <c r="Z10" i="7"/>
  <c r="D6" i="10"/>
  <c r="C6" i="10"/>
  <c r="AC4" i="7"/>
  <c r="AD4" i="7"/>
  <c r="AG4" i="7"/>
  <c r="Z4" i="7"/>
  <c r="I8" i="7"/>
  <c r="I9" i="7"/>
  <c r="I10" i="7"/>
  <c r="H10" i="7"/>
  <c r="H9" i="7"/>
  <c r="H8" i="7"/>
  <c r="D5" i="10"/>
  <c r="AI7" i="7" s="1"/>
  <c r="C5" i="10"/>
  <c r="AB7" i="7" s="1"/>
  <c r="D4" i="10"/>
  <c r="AJ4" i="7" s="1"/>
  <c r="C4" i="10"/>
  <c r="AA4" i="7" s="1"/>
  <c r="I106" i="7"/>
  <c r="H106" i="7"/>
  <c r="G106" i="7"/>
  <c r="F106" i="7"/>
  <c r="I103" i="7"/>
  <c r="I104" i="7" s="1"/>
  <c r="H103" i="7"/>
  <c r="H104" i="7" s="1"/>
  <c r="G103" i="7"/>
  <c r="G104" i="7" s="1"/>
  <c r="F103" i="7"/>
  <c r="F104" i="7" s="1"/>
  <c r="I96" i="7"/>
  <c r="H96" i="7"/>
  <c r="G96" i="7"/>
  <c r="F96" i="7"/>
  <c r="I93" i="7"/>
  <c r="I94" i="7" s="1"/>
  <c r="H93" i="7"/>
  <c r="H94" i="7" s="1"/>
  <c r="G93" i="7"/>
  <c r="G94" i="7" s="1"/>
  <c r="F93" i="7"/>
  <c r="F94" i="7" s="1"/>
  <c r="I86" i="7"/>
  <c r="H86" i="7"/>
  <c r="G86" i="7"/>
  <c r="F86" i="7"/>
  <c r="I83" i="7"/>
  <c r="I84" i="7" s="1"/>
  <c r="H83" i="7"/>
  <c r="H84" i="7" s="1"/>
  <c r="G83" i="7"/>
  <c r="G84" i="7" s="1"/>
  <c r="F83" i="7"/>
  <c r="F84" i="7" s="1"/>
  <c r="I73" i="7"/>
  <c r="H73" i="7"/>
  <c r="G73" i="7"/>
  <c r="I71" i="7"/>
  <c r="I66" i="7"/>
  <c r="H66" i="7"/>
  <c r="G66" i="7"/>
  <c r="I64" i="7"/>
  <c r="I59" i="7"/>
  <c r="H59" i="7"/>
  <c r="G59" i="7"/>
  <c r="I57" i="7"/>
  <c r="I54" i="7"/>
  <c r="I55" i="7" s="1"/>
  <c r="I46" i="7"/>
  <c r="H46" i="7"/>
  <c r="G46" i="7"/>
  <c r="I44" i="7"/>
  <c r="D39" i="7" s="1"/>
  <c r="H44" i="7"/>
  <c r="G44" i="7"/>
  <c r="F44" i="7"/>
  <c r="I41" i="7"/>
  <c r="I108" i="7" s="1"/>
  <c r="D40" i="7"/>
  <c r="J53" i="7" s="1"/>
  <c r="Y10" i="7"/>
  <c r="Y11" i="7" s="1"/>
  <c r="X10" i="7"/>
  <c r="X11" i="7" s="1"/>
  <c r="Y7" i="7"/>
  <c r="Y8" i="7" s="1"/>
  <c r="X7" i="7"/>
  <c r="Y4" i="7"/>
  <c r="Y5" i="7" s="1"/>
  <c r="X4" i="7"/>
  <c r="AF7" i="7" l="1"/>
  <c r="AF4" i="7"/>
  <c r="AF5" i="7" s="1"/>
  <c r="AB4" i="7"/>
  <c r="AB5" i="7" s="1"/>
  <c r="AE4" i="7"/>
  <c r="AE5" i="7" s="1"/>
  <c r="L8" i="7" s="1"/>
  <c r="AI4" i="7"/>
  <c r="AI5" i="7" s="1"/>
  <c r="Z11" i="7"/>
  <c r="AG7" i="7"/>
  <c r="AG8" i="7" s="1"/>
  <c r="AC7" i="7"/>
  <c r="AC8" i="7" s="1"/>
  <c r="AG11" i="7"/>
  <c r="AC11" i="7"/>
  <c r="AE7" i="7"/>
  <c r="K6" i="7" s="1"/>
  <c r="AA7" i="7"/>
  <c r="AA8" i="7" s="1"/>
  <c r="AE11" i="7"/>
  <c r="L7" i="7" s="1"/>
  <c r="AA11" i="7"/>
  <c r="AD7" i="7"/>
  <c r="AD8" i="7" s="1"/>
  <c r="Z7" i="7"/>
  <c r="Z8" i="7" s="1"/>
  <c r="AD11" i="7"/>
  <c r="AL4" i="7"/>
  <c r="AL5" i="7" s="1"/>
  <c r="AH4" i="7"/>
  <c r="AH5" i="7" s="1"/>
  <c r="AK4" i="7"/>
  <c r="AK5" i="7" s="1"/>
  <c r="AL7" i="7"/>
  <c r="AK7" i="7"/>
  <c r="AK8" i="7" s="1"/>
  <c r="AJ7" i="7"/>
  <c r="AJ8" i="7" s="1"/>
  <c r="AH7" i="7"/>
  <c r="AH8" i="7" s="1"/>
  <c r="AI8" i="7"/>
  <c r="Z5" i="7"/>
  <c r="P7" i="7"/>
  <c r="P10" i="7"/>
  <c r="F105" i="7"/>
  <c r="J64" i="7"/>
  <c r="J65" i="7" s="1"/>
  <c r="J66" i="7" s="1"/>
  <c r="J67" i="7" s="1"/>
  <c r="G95" i="7"/>
  <c r="Q10" i="7"/>
  <c r="Q7" i="7"/>
  <c r="AC5" i="7"/>
  <c r="AG5" i="7"/>
  <c r="H40" i="7"/>
  <c r="J71" i="7"/>
  <c r="J72" i="7" s="1"/>
  <c r="J73" i="7" s="1"/>
  <c r="I75" i="7" s="1"/>
  <c r="F85" i="7"/>
  <c r="G105" i="7"/>
  <c r="H53" i="7"/>
  <c r="H57" i="7" s="1"/>
  <c r="AD5" i="7"/>
  <c r="AA5" i="7"/>
  <c r="J40" i="7"/>
  <c r="H95" i="7"/>
  <c r="H105" i="7"/>
  <c r="P9" i="7"/>
  <c r="AJ5" i="7"/>
  <c r="I98" i="7"/>
  <c r="I88" i="7"/>
  <c r="I42" i="7"/>
  <c r="K9" i="7"/>
  <c r="H71" i="7"/>
  <c r="H85" i="7"/>
  <c r="G85" i="7"/>
  <c r="AF8" i="7"/>
  <c r="AB8" i="7"/>
  <c r="K10" i="7"/>
  <c r="K7" i="7"/>
  <c r="J57" i="7"/>
  <c r="J58" i="7" s="1"/>
  <c r="J59" i="7" s="1"/>
  <c r="J60" i="7" s="1"/>
  <c r="J54" i="7"/>
  <c r="J55" i="7" s="1"/>
  <c r="K53" i="7"/>
  <c r="F95" i="7"/>
  <c r="K5" i="7" l="1"/>
  <c r="K8" i="7"/>
  <c r="L10" i="7"/>
  <c r="L5" i="7"/>
  <c r="AE8" i="7"/>
  <c r="L6" i="7" s="1"/>
  <c r="P5" i="7"/>
  <c r="P8" i="7"/>
  <c r="I68" i="7"/>
  <c r="J74" i="7"/>
  <c r="K40" i="7"/>
  <c r="J44" i="7"/>
  <c r="J45" i="7" s="1"/>
  <c r="J41" i="7"/>
  <c r="G53" i="7"/>
  <c r="H64" i="7"/>
  <c r="H54" i="7"/>
  <c r="H55" i="7" s="1"/>
  <c r="H41" i="7"/>
  <c r="G40" i="7"/>
  <c r="P6" i="7"/>
  <c r="AL8" i="7"/>
  <c r="Q9" i="7" s="1"/>
  <c r="Q8" i="7"/>
  <c r="Q5" i="7"/>
  <c r="K64" i="7"/>
  <c r="K65" i="7" s="1"/>
  <c r="K66" i="7" s="1"/>
  <c r="K67" i="7" s="1"/>
  <c r="K71" i="7"/>
  <c r="K72" i="7" s="1"/>
  <c r="K73" i="7" s="1"/>
  <c r="J75" i="7" s="1"/>
  <c r="K54" i="7"/>
  <c r="K55" i="7" s="1"/>
  <c r="L53" i="7"/>
  <c r="K57" i="7"/>
  <c r="K58" i="7" s="1"/>
  <c r="K59" i="7" s="1"/>
  <c r="K60" i="7" s="1"/>
  <c r="I61" i="7"/>
  <c r="I99" i="7"/>
  <c r="I100" i="7" s="1"/>
  <c r="I89" i="7"/>
  <c r="I90" i="7" s="1"/>
  <c r="I109" i="7"/>
  <c r="I110" i="7" s="1"/>
  <c r="L9" i="7" l="1"/>
  <c r="Q6" i="7"/>
  <c r="K74" i="7"/>
  <c r="H98" i="7"/>
  <c r="H42" i="7"/>
  <c r="H88" i="7"/>
  <c r="H108" i="7"/>
  <c r="H75" i="7"/>
  <c r="I67" i="7"/>
  <c r="H61" i="7"/>
  <c r="I74" i="7"/>
  <c r="I60" i="7"/>
  <c r="H68" i="7"/>
  <c r="K44" i="7"/>
  <c r="K45" i="7" s="1"/>
  <c r="K41" i="7"/>
  <c r="K42" i="7" s="1"/>
  <c r="L40" i="7"/>
  <c r="J42" i="7"/>
  <c r="J108" i="7"/>
  <c r="J98" i="7"/>
  <c r="J88" i="7"/>
  <c r="J83" i="7"/>
  <c r="J84" i="7" s="1"/>
  <c r="J85" i="7" s="1"/>
  <c r="J86" i="7" s="1"/>
  <c r="J103" i="7"/>
  <c r="J104" i="7" s="1"/>
  <c r="J105" i="7" s="1"/>
  <c r="J106" i="7" s="1"/>
  <c r="J46" i="7"/>
  <c r="J93" i="7"/>
  <c r="J94" i="7" s="1"/>
  <c r="J95" i="7" s="1"/>
  <c r="J96" i="7" s="1"/>
  <c r="J61" i="7"/>
  <c r="F40" i="7"/>
  <c r="F41" i="7" s="1"/>
  <c r="G41" i="7"/>
  <c r="G54" i="7"/>
  <c r="G55" i="7" s="1"/>
  <c r="G64" i="7"/>
  <c r="F53" i="7"/>
  <c r="G71" i="7"/>
  <c r="G57" i="7"/>
  <c r="J68" i="7"/>
  <c r="L64" i="7"/>
  <c r="L65" i="7" s="1"/>
  <c r="L66" i="7" s="1"/>
  <c r="L54" i="7"/>
  <c r="L55" i="7" s="1"/>
  <c r="L71" i="7"/>
  <c r="L72" i="7" s="1"/>
  <c r="L73" i="7" s="1"/>
  <c r="M53" i="7"/>
  <c r="L57" i="7"/>
  <c r="L58" i="7" s="1"/>
  <c r="L59" i="7" s="1"/>
  <c r="F42" i="7" l="1"/>
  <c r="F108" i="7"/>
  <c r="F98" i="7"/>
  <c r="F88" i="7"/>
  <c r="K93" i="7"/>
  <c r="K94" i="7" s="1"/>
  <c r="K95" i="7" s="1"/>
  <c r="K46" i="7"/>
  <c r="K103" i="7"/>
  <c r="K104" i="7" s="1"/>
  <c r="K105" i="7" s="1"/>
  <c r="K83" i="7"/>
  <c r="K84" i="7" s="1"/>
  <c r="K85" i="7" s="1"/>
  <c r="J89" i="7"/>
  <c r="J90" i="7" s="1"/>
  <c r="J99" i="7"/>
  <c r="J100" i="7" s="1"/>
  <c r="J109" i="7"/>
  <c r="J110" i="7" s="1"/>
  <c r="I47" i="7"/>
  <c r="H109" i="7"/>
  <c r="H110" i="7" s="1"/>
  <c r="H48" i="7"/>
  <c r="H89" i="7"/>
  <c r="H90" i="7" s="1"/>
  <c r="H99" i="7"/>
  <c r="H100" i="7" s="1"/>
  <c r="G98" i="7"/>
  <c r="G42" i="7"/>
  <c r="G108" i="7"/>
  <c r="G88" i="7"/>
  <c r="J47" i="7"/>
  <c r="I48" i="7"/>
  <c r="F64" i="7"/>
  <c r="F57" i="7"/>
  <c r="F54" i="7"/>
  <c r="F55" i="7" s="1"/>
  <c r="F71" i="7"/>
  <c r="G75" i="7"/>
  <c r="G61" i="7"/>
  <c r="H74" i="7"/>
  <c r="H67" i="7"/>
  <c r="G68" i="7"/>
  <c r="H60" i="7"/>
  <c r="M40" i="7"/>
  <c r="L41" i="7"/>
  <c r="L42" i="7" s="1"/>
  <c r="L44" i="7"/>
  <c r="L45" i="7" s="1"/>
  <c r="K61" i="7"/>
  <c r="L60" i="7"/>
  <c r="L67" i="7"/>
  <c r="K68" i="7"/>
  <c r="M71" i="7"/>
  <c r="M72" i="7" s="1"/>
  <c r="M73" i="7" s="1"/>
  <c r="N53" i="7"/>
  <c r="M64" i="7"/>
  <c r="M65" i="7" s="1"/>
  <c r="M66" i="7" s="1"/>
  <c r="M67" i="7" s="1"/>
  <c r="M54" i="7"/>
  <c r="M55" i="7" s="1"/>
  <c r="M57" i="7"/>
  <c r="M58" i="7" s="1"/>
  <c r="M59" i="7" s="1"/>
  <c r="M60" i="7" s="1"/>
  <c r="K75" i="7"/>
  <c r="L74" i="7"/>
  <c r="L46" i="7" l="1"/>
  <c r="L83" i="7"/>
  <c r="L84" i="7" s="1"/>
  <c r="L85" i="7" s="1"/>
  <c r="L93" i="7"/>
  <c r="L94" i="7" s="1"/>
  <c r="L95" i="7" s="1"/>
  <c r="L103" i="7"/>
  <c r="L104" i="7" s="1"/>
  <c r="L105" i="7" s="1"/>
  <c r="I76" i="7"/>
  <c r="I62" i="7"/>
  <c r="I69" i="7"/>
  <c r="H47" i="7"/>
  <c r="G99" i="7"/>
  <c r="G100" i="7" s="1"/>
  <c r="G48" i="7"/>
  <c r="G69" i="7" s="1"/>
  <c r="G109" i="7"/>
  <c r="G110" i="7" s="1"/>
  <c r="G89" i="7"/>
  <c r="G90" i="7" s="1"/>
  <c r="H62" i="7"/>
  <c r="H76" i="7"/>
  <c r="H69" i="7"/>
  <c r="J48" i="7"/>
  <c r="K47" i="7"/>
  <c r="K86" i="7"/>
  <c r="C11" i="8" s="1"/>
  <c r="K88" i="7"/>
  <c r="K89" i="7" s="1"/>
  <c r="K90" i="7" s="1"/>
  <c r="K106" i="7"/>
  <c r="C13" i="8" s="1"/>
  <c r="K108" i="7"/>
  <c r="K109" i="7" s="1"/>
  <c r="K110" i="7" s="1"/>
  <c r="M41" i="7"/>
  <c r="M42" i="7" s="1"/>
  <c r="N40" i="7"/>
  <c r="M44" i="7"/>
  <c r="M45" i="7" s="1"/>
  <c r="G67" i="7"/>
  <c r="G74" i="7"/>
  <c r="G60" i="7"/>
  <c r="K98" i="7"/>
  <c r="K99" i="7" s="1"/>
  <c r="K100" i="7" s="1"/>
  <c r="K96" i="7"/>
  <c r="C12" i="8" s="1"/>
  <c r="F99" i="7"/>
  <c r="F100" i="7" s="1"/>
  <c r="G47" i="7"/>
  <c r="F48" i="7"/>
  <c r="F89" i="7"/>
  <c r="F90" i="7" s="1"/>
  <c r="F109" i="7"/>
  <c r="F110" i="7" s="1"/>
  <c r="L68" i="7"/>
  <c r="L61" i="7"/>
  <c r="N71" i="7"/>
  <c r="N72" i="7" s="1"/>
  <c r="N73" i="7" s="1"/>
  <c r="N74" i="7" s="1"/>
  <c r="N54" i="7"/>
  <c r="N55" i="7" s="1"/>
  <c r="O53" i="7"/>
  <c r="N64" i="7"/>
  <c r="N65" i="7" s="1"/>
  <c r="N66" i="7" s="1"/>
  <c r="N67" i="7" s="1"/>
  <c r="N57" i="7"/>
  <c r="N58" i="7" s="1"/>
  <c r="N59" i="7" s="1"/>
  <c r="N60" i="7" s="1"/>
  <c r="L75" i="7"/>
  <c r="M74" i="7"/>
  <c r="M75" i="7" l="1"/>
  <c r="J76" i="7"/>
  <c r="J62" i="7"/>
  <c r="J69" i="7"/>
  <c r="K48" i="7"/>
  <c r="L47" i="7"/>
  <c r="N44" i="7"/>
  <c r="N45" i="7" s="1"/>
  <c r="N41" i="7"/>
  <c r="N42" i="7" s="1"/>
  <c r="O40" i="7"/>
  <c r="L108" i="7"/>
  <c r="L109" i="7" s="1"/>
  <c r="L110" i="7" s="1"/>
  <c r="L106" i="7"/>
  <c r="G76" i="7"/>
  <c r="L88" i="7"/>
  <c r="L89" i="7" s="1"/>
  <c r="L90" i="7" s="1"/>
  <c r="L86" i="7"/>
  <c r="M46" i="7"/>
  <c r="M103" i="7"/>
  <c r="M104" i="7" s="1"/>
  <c r="M105" i="7" s="1"/>
  <c r="M83" i="7"/>
  <c r="M84" i="7" s="1"/>
  <c r="M85" i="7" s="1"/>
  <c r="M93" i="7"/>
  <c r="M94" i="7" s="1"/>
  <c r="M95" i="7" s="1"/>
  <c r="M61" i="7"/>
  <c r="L98" i="7"/>
  <c r="L99" i="7" s="1"/>
  <c r="L100" i="7" s="1"/>
  <c r="L96" i="7"/>
  <c r="G62" i="7"/>
  <c r="M68" i="7"/>
  <c r="P53" i="7"/>
  <c r="O71" i="7"/>
  <c r="O72" i="7" s="1"/>
  <c r="O73" i="7" s="1"/>
  <c r="O74" i="7" s="1"/>
  <c r="O64" i="7"/>
  <c r="O65" i="7" s="1"/>
  <c r="O66" i="7" s="1"/>
  <c r="O54" i="7"/>
  <c r="O55" i="7" s="1"/>
  <c r="O57" i="7"/>
  <c r="O58" i="7" s="1"/>
  <c r="O59" i="7" s="1"/>
  <c r="O60" i="7" s="1"/>
  <c r="D13" i="8" l="1"/>
  <c r="J10" i="7"/>
  <c r="D11" i="8"/>
  <c r="J8" i="7"/>
  <c r="D12" i="8"/>
  <c r="J9" i="7"/>
  <c r="K62" i="7"/>
  <c r="H5" i="7" s="1"/>
  <c r="I5" i="7" s="1"/>
  <c r="K69" i="7"/>
  <c r="H6" i="7" s="1"/>
  <c r="I6" i="7" s="1"/>
  <c r="K76" i="7"/>
  <c r="H7" i="7" s="1"/>
  <c r="I7" i="7" s="1"/>
  <c r="M47" i="7"/>
  <c r="L48" i="7"/>
  <c r="M96" i="7"/>
  <c r="E12" i="8" s="1"/>
  <c r="M98" i="7"/>
  <c r="M99" i="7" s="1"/>
  <c r="M100" i="7" s="1"/>
  <c r="N103" i="7"/>
  <c r="N104" i="7" s="1"/>
  <c r="N105" i="7" s="1"/>
  <c r="N83" i="7"/>
  <c r="N84" i="7" s="1"/>
  <c r="N85" i="7" s="1"/>
  <c r="N46" i="7"/>
  <c r="N93" i="7"/>
  <c r="N94" i="7" s="1"/>
  <c r="N95" i="7" s="1"/>
  <c r="M106" i="7"/>
  <c r="E13" i="8" s="1"/>
  <c r="M108" i="7"/>
  <c r="M109" i="7" s="1"/>
  <c r="M110" i="7" s="1"/>
  <c r="P40" i="7"/>
  <c r="O41" i="7"/>
  <c r="O42" i="7" s="1"/>
  <c r="O44" i="7"/>
  <c r="O45" i="7" s="1"/>
  <c r="M86" i="7"/>
  <c r="E11" i="8" s="1"/>
  <c r="M88" i="7"/>
  <c r="M89" i="7" s="1"/>
  <c r="M90" i="7" s="1"/>
  <c r="N75" i="7"/>
  <c r="P64" i="7"/>
  <c r="P65" i="7" s="1"/>
  <c r="P54" i="7"/>
  <c r="P55" i="7" s="1"/>
  <c r="P57" i="7"/>
  <c r="P58" i="7" s="1"/>
  <c r="P59" i="7" s="1"/>
  <c r="P60" i="7" s="1"/>
  <c r="Q53" i="7"/>
  <c r="P71" i="7"/>
  <c r="P72" i="7" s="1"/>
  <c r="P73" i="7" s="1"/>
  <c r="P74" i="7" s="1"/>
  <c r="N61" i="7"/>
  <c r="N68" i="7"/>
  <c r="O67" i="7"/>
  <c r="N108" i="7" l="1"/>
  <c r="N109" i="7" s="1"/>
  <c r="N110" i="7" s="1"/>
  <c r="N106" i="7"/>
  <c r="F13" i="8" s="1"/>
  <c r="Q40" i="7"/>
  <c r="P41" i="7"/>
  <c r="P42" i="7" s="1"/>
  <c r="P44" i="7"/>
  <c r="P45" i="7" s="1"/>
  <c r="M48" i="7"/>
  <c r="N47" i="7"/>
  <c r="O93" i="7"/>
  <c r="O94" i="7" s="1"/>
  <c r="O95" i="7" s="1"/>
  <c r="O103" i="7"/>
  <c r="O104" i="7" s="1"/>
  <c r="O105" i="7" s="1"/>
  <c r="O83" i="7"/>
  <c r="O84" i="7" s="1"/>
  <c r="O85" i="7" s="1"/>
  <c r="O46" i="7"/>
  <c r="N98" i="7"/>
  <c r="N99" i="7" s="1"/>
  <c r="N100" i="7" s="1"/>
  <c r="N96" i="7"/>
  <c r="F12" i="8" s="1"/>
  <c r="N88" i="7"/>
  <c r="N89" i="7" s="1"/>
  <c r="N90" i="7" s="1"/>
  <c r="N86" i="7"/>
  <c r="F11" i="8" s="1"/>
  <c r="L69" i="7"/>
  <c r="L62" i="7"/>
  <c r="L76" i="7"/>
  <c r="O61" i="7"/>
  <c r="P66" i="7"/>
  <c r="O75" i="7"/>
  <c r="Q71" i="7"/>
  <c r="Q72" i="7" s="1"/>
  <c r="Q73" i="7" s="1"/>
  <c r="Q64" i="7"/>
  <c r="Q65" i="7" s="1"/>
  <c r="Q66" i="7" s="1"/>
  <c r="R53" i="7"/>
  <c r="Q54" i="7"/>
  <c r="Q55" i="7" s="1"/>
  <c r="Q57" i="7"/>
  <c r="Q58" i="7" s="1"/>
  <c r="Q59" i="7" s="1"/>
  <c r="Q60" i="7" s="1"/>
  <c r="O47" i="7" l="1"/>
  <c r="N48" i="7"/>
  <c r="R40" i="7"/>
  <c r="Q44" i="7"/>
  <c r="Q45" i="7" s="1"/>
  <c r="Q41" i="7"/>
  <c r="Q42" i="7" s="1"/>
  <c r="O88" i="7"/>
  <c r="O89" i="7" s="1"/>
  <c r="O90" i="7" s="1"/>
  <c r="O86" i="7"/>
  <c r="G11" i="8" s="1"/>
  <c r="M69" i="7"/>
  <c r="M76" i="7"/>
  <c r="M62" i="7"/>
  <c r="O106" i="7"/>
  <c r="G13" i="8" s="1"/>
  <c r="O108" i="7"/>
  <c r="O109" i="7" s="1"/>
  <c r="O110" i="7" s="1"/>
  <c r="P46" i="7"/>
  <c r="P103" i="7"/>
  <c r="P104" i="7" s="1"/>
  <c r="P105" i="7" s="1"/>
  <c r="P83" i="7"/>
  <c r="P84" i="7" s="1"/>
  <c r="P85" i="7" s="1"/>
  <c r="P93" i="7"/>
  <c r="P94" i="7" s="1"/>
  <c r="P95" i="7" s="1"/>
  <c r="O98" i="7"/>
  <c r="O99" i="7" s="1"/>
  <c r="O100" i="7" s="1"/>
  <c r="O96" i="7"/>
  <c r="G12" i="8" s="1"/>
  <c r="Q67" i="7"/>
  <c r="P68" i="7"/>
  <c r="P75" i="7"/>
  <c r="Q74" i="7"/>
  <c r="P67" i="7"/>
  <c r="O68" i="7"/>
  <c r="P61" i="7"/>
  <c r="R54" i="7"/>
  <c r="R55" i="7" s="1"/>
  <c r="R71" i="7"/>
  <c r="R72" i="7" s="1"/>
  <c r="R73" i="7" s="1"/>
  <c r="R74" i="7" s="1"/>
  <c r="S53" i="7"/>
  <c r="R64" i="7"/>
  <c r="R65" i="7" s="1"/>
  <c r="R66" i="7" s="1"/>
  <c r="R67" i="7" s="1"/>
  <c r="R57" i="7"/>
  <c r="R58" i="7" s="1"/>
  <c r="R59" i="7" s="1"/>
  <c r="R60" i="7" s="1"/>
  <c r="P98" i="7" l="1"/>
  <c r="P99" i="7" s="1"/>
  <c r="P100" i="7" s="1"/>
  <c r="D100" i="7" s="1"/>
  <c r="M9" i="7" s="1"/>
  <c r="N9" i="7" s="1"/>
  <c r="P96" i="7"/>
  <c r="H12" i="8" s="1"/>
  <c r="P88" i="7"/>
  <c r="P89" i="7" s="1"/>
  <c r="P90" i="7" s="1"/>
  <c r="D90" i="7" s="1"/>
  <c r="M8" i="7" s="1"/>
  <c r="N8" i="7" s="1"/>
  <c r="P86" i="7"/>
  <c r="H11" i="8" s="1"/>
  <c r="S40" i="7"/>
  <c r="R41" i="7"/>
  <c r="R42" i="7" s="1"/>
  <c r="R44" i="7"/>
  <c r="R45" i="7" s="1"/>
  <c r="P108" i="7"/>
  <c r="P109" i="7" s="1"/>
  <c r="P110" i="7" s="1"/>
  <c r="D110" i="7" s="1"/>
  <c r="M10" i="7" s="1"/>
  <c r="N10" i="7" s="1"/>
  <c r="P106" i="7"/>
  <c r="H13" i="8" s="1"/>
  <c r="N69" i="7"/>
  <c r="N62" i="7"/>
  <c r="N76" i="7"/>
  <c r="Q46" i="7"/>
  <c r="Q103" i="7"/>
  <c r="Q104" i="7" s="1"/>
  <c r="Q105" i="7" s="1"/>
  <c r="Q93" i="7"/>
  <c r="Q94" i="7" s="1"/>
  <c r="Q95" i="7" s="1"/>
  <c r="Q83" i="7"/>
  <c r="Q84" i="7" s="1"/>
  <c r="Q85" i="7" s="1"/>
  <c r="O48" i="7"/>
  <c r="O69" i="7" s="1"/>
  <c r="P47" i="7"/>
  <c r="Q61" i="7"/>
  <c r="S71" i="7"/>
  <c r="S72" i="7" s="1"/>
  <c r="S73" i="7" s="1"/>
  <c r="S74" i="7" s="1"/>
  <c r="S64" i="7"/>
  <c r="S65" i="7" s="1"/>
  <c r="S66" i="7" s="1"/>
  <c r="T53" i="7"/>
  <c r="S54" i="7"/>
  <c r="S55" i="7" s="1"/>
  <c r="S57" i="7"/>
  <c r="S58" i="7" s="1"/>
  <c r="S59" i="7" s="1"/>
  <c r="S60" i="7" s="1"/>
  <c r="Q68" i="7"/>
  <c r="Q75" i="7"/>
  <c r="R75" i="7" l="1"/>
  <c r="T40" i="7"/>
  <c r="S44" i="7"/>
  <c r="S45" i="7" s="1"/>
  <c r="S41" i="7"/>
  <c r="S42" i="7" s="1"/>
  <c r="Q98" i="7"/>
  <c r="Q99" i="7" s="1"/>
  <c r="Q100" i="7" s="1"/>
  <c r="Q96" i="7"/>
  <c r="I12" i="8" s="1"/>
  <c r="R93" i="7"/>
  <c r="R94" i="7" s="1"/>
  <c r="R95" i="7" s="1"/>
  <c r="R83" i="7"/>
  <c r="R84" i="7" s="1"/>
  <c r="R85" i="7" s="1"/>
  <c r="R103" i="7"/>
  <c r="R104" i="7" s="1"/>
  <c r="R105" i="7" s="1"/>
  <c r="R46" i="7"/>
  <c r="P48" i="7"/>
  <c r="Q47" i="7"/>
  <c r="Q86" i="7"/>
  <c r="I11" i="8" s="1"/>
  <c r="Q88" i="7"/>
  <c r="Q89" i="7" s="1"/>
  <c r="Q90" i="7" s="1"/>
  <c r="O62" i="7"/>
  <c r="O76" i="7"/>
  <c r="Q106" i="7"/>
  <c r="I13" i="8" s="1"/>
  <c r="Q108" i="7"/>
  <c r="Q109" i="7" s="1"/>
  <c r="Q110" i="7" s="1"/>
  <c r="R61" i="7"/>
  <c r="R68" i="7"/>
  <c r="S67" i="7"/>
  <c r="T64" i="7"/>
  <c r="T65" i="7" s="1"/>
  <c r="U53" i="7"/>
  <c r="T71" i="7"/>
  <c r="T72" i="7" s="1"/>
  <c r="T73" i="7" s="1"/>
  <c r="T74" i="7" s="1"/>
  <c r="T54" i="7"/>
  <c r="T55" i="7" s="1"/>
  <c r="T57" i="7"/>
  <c r="T58" i="7" s="1"/>
  <c r="T59" i="7" s="1"/>
  <c r="T60" i="7" s="1"/>
  <c r="P76" i="7" l="1"/>
  <c r="D76" i="7" s="1"/>
  <c r="M7" i="7" s="1"/>
  <c r="N7" i="7" s="1"/>
  <c r="P69" i="7"/>
  <c r="D69" i="7" s="1"/>
  <c r="M6" i="7" s="1"/>
  <c r="N6" i="7" s="1"/>
  <c r="P62" i="7"/>
  <c r="D62" i="7" s="1"/>
  <c r="M5" i="7" s="1"/>
  <c r="N5" i="7" s="1"/>
  <c r="R96" i="7"/>
  <c r="O9" i="7" s="1"/>
  <c r="R98" i="7"/>
  <c r="R99" i="7" s="1"/>
  <c r="R100" i="7" s="1"/>
  <c r="S46" i="7"/>
  <c r="S83" i="7"/>
  <c r="S84" i="7" s="1"/>
  <c r="S85" i="7" s="1"/>
  <c r="S103" i="7"/>
  <c r="S104" i="7" s="1"/>
  <c r="S105" i="7" s="1"/>
  <c r="S93" i="7"/>
  <c r="S94" i="7" s="1"/>
  <c r="S95" i="7" s="1"/>
  <c r="S75" i="7"/>
  <c r="Q48" i="7"/>
  <c r="R47" i="7"/>
  <c r="T41" i="7"/>
  <c r="T42" i="7" s="1"/>
  <c r="T44" i="7"/>
  <c r="T45" i="7" s="1"/>
  <c r="U40" i="7"/>
  <c r="R86" i="7"/>
  <c r="O8" i="7" s="1"/>
  <c r="R88" i="7"/>
  <c r="R89" i="7" s="1"/>
  <c r="R90" i="7" s="1"/>
  <c r="R108" i="7"/>
  <c r="R109" i="7" s="1"/>
  <c r="R110" i="7" s="1"/>
  <c r="R106" i="7"/>
  <c r="O10" i="7" s="1"/>
  <c r="T66" i="7"/>
  <c r="S61" i="7"/>
  <c r="U71" i="7"/>
  <c r="U72" i="7" s="1"/>
  <c r="U73" i="7" s="1"/>
  <c r="V53" i="7"/>
  <c r="U64" i="7"/>
  <c r="U65" i="7" s="1"/>
  <c r="U66" i="7" s="1"/>
  <c r="U54" i="7"/>
  <c r="U55" i="7" s="1"/>
  <c r="U57" i="7"/>
  <c r="U58" i="7" s="1"/>
  <c r="U59" i="7" s="1"/>
  <c r="U60" i="7" s="1"/>
  <c r="J13" i="8" l="1"/>
  <c r="J11" i="8"/>
  <c r="S106" i="7"/>
  <c r="K13" i="8" s="1"/>
  <c r="S108" i="7"/>
  <c r="S109" i="7" s="1"/>
  <c r="S110" i="7" s="1"/>
  <c r="J12" i="8"/>
  <c r="U44" i="7"/>
  <c r="U45" i="7" s="1"/>
  <c r="V40" i="7"/>
  <c r="U41" i="7"/>
  <c r="U42" i="7" s="1"/>
  <c r="Q62" i="7"/>
  <c r="Q76" i="7"/>
  <c r="Q69" i="7"/>
  <c r="S88" i="7"/>
  <c r="S89" i="7" s="1"/>
  <c r="S90" i="7" s="1"/>
  <c r="S86" i="7"/>
  <c r="K11" i="8" s="1"/>
  <c r="T103" i="7"/>
  <c r="T104" i="7" s="1"/>
  <c r="T105" i="7" s="1"/>
  <c r="T46" i="7"/>
  <c r="T93" i="7"/>
  <c r="T94" i="7" s="1"/>
  <c r="T95" i="7" s="1"/>
  <c r="T83" i="7"/>
  <c r="T84" i="7" s="1"/>
  <c r="T85" i="7" s="1"/>
  <c r="S47" i="7"/>
  <c r="R48" i="7"/>
  <c r="S98" i="7"/>
  <c r="S99" i="7" s="1"/>
  <c r="S100" i="7" s="1"/>
  <c r="S96" i="7"/>
  <c r="K12" i="8" s="1"/>
  <c r="U67" i="7"/>
  <c r="T68" i="7"/>
  <c r="T75" i="7"/>
  <c r="U74" i="7"/>
  <c r="T67" i="7"/>
  <c r="S68" i="7"/>
  <c r="V64" i="7"/>
  <c r="V65" i="7" s="1"/>
  <c r="V66" i="7" s="1"/>
  <c r="V67" i="7" s="1"/>
  <c r="V54" i="7"/>
  <c r="V55" i="7" s="1"/>
  <c r="V71" i="7"/>
  <c r="V72" i="7" s="1"/>
  <c r="V73" i="7" s="1"/>
  <c r="V74" i="7" s="1"/>
  <c r="W53" i="7"/>
  <c r="V57" i="7"/>
  <c r="V58" i="7" s="1"/>
  <c r="V59" i="7" s="1"/>
  <c r="V60" i="7" s="1"/>
  <c r="T61" i="7"/>
  <c r="R76" i="7" l="1"/>
  <c r="R69" i="7"/>
  <c r="R62" i="7"/>
  <c r="T47" i="7"/>
  <c r="S48" i="7"/>
  <c r="U46" i="7"/>
  <c r="U103" i="7"/>
  <c r="U104" i="7" s="1"/>
  <c r="U105" i="7" s="1"/>
  <c r="U93" i="7"/>
  <c r="U94" i="7" s="1"/>
  <c r="U95" i="7" s="1"/>
  <c r="U83" i="7"/>
  <c r="U84" i="7" s="1"/>
  <c r="U85" i="7" s="1"/>
  <c r="T108" i="7"/>
  <c r="T109" i="7" s="1"/>
  <c r="T110" i="7" s="1"/>
  <c r="T106" i="7"/>
  <c r="L13" i="8" s="1"/>
  <c r="S69" i="7"/>
  <c r="T88" i="7"/>
  <c r="T89" i="7" s="1"/>
  <c r="T90" i="7" s="1"/>
  <c r="T86" i="7"/>
  <c r="L11" i="8" s="1"/>
  <c r="U61" i="7"/>
  <c r="T98" i="7"/>
  <c r="T99" i="7" s="1"/>
  <c r="T100" i="7" s="1"/>
  <c r="T96" i="7"/>
  <c r="L12" i="8" s="1"/>
  <c r="W40" i="7"/>
  <c r="V41" i="7"/>
  <c r="V42" i="7" s="1"/>
  <c r="V44" i="7"/>
  <c r="V45" i="7" s="1"/>
  <c r="W54" i="7"/>
  <c r="W55" i="7" s="1"/>
  <c r="W64" i="7"/>
  <c r="W65" i="7" s="1"/>
  <c r="W66" i="7" s="1"/>
  <c r="W57" i="7"/>
  <c r="W58" i="7" s="1"/>
  <c r="W59" i="7" s="1"/>
  <c r="W60" i="7" s="1"/>
  <c r="X53" i="7"/>
  <c r="W71" i="7"/>
  <c r="W72" i="7" s="1"/>
  <c r="W73" i="7" s="1"/>
  <c r="W74" i="7" s="1"/>
  <c r="U68" i="7"/>
  <c r="U75" i="7"/>
  <c r="V75" i="7" l="1"/>
  <c r="V83" i="7"/>
  <c r="V84" i="7" s="1"/>
  <c r="V85" i="7" s="1"/>
  <c r="V103" i="7"/>
  <c r="V104" i="7" s="1"/>
  <c r="V105" i="7" s="1"/>
  <c r="V46" i="7"/>
  <c r="V93" i="7"/>
  <c r="V94" i="7" s="1"/>
  <c r="V95" i="7" s="1"/>
  <c r="U47" i="7"/>
  <c r="T48" i="7"/>
  <c r="U86" i="7"/>
  <c r="M11" i="8" s="1"/>
  <c r="U88" i="7"/>
  <c r="U89" i="7" s="1"/>
  <c r="U90" i="7" s="1"/>
  <c r="S76" i="7"/>
  <c r="S62" i="7"/>
  <c r="W44" i="7"/>
  <c r="W45" i="7" s="1"/>
  <c r="W41" i="7"/>
  <c r="W42" i="7" s="1"/>
  <c r="X40" i="7"/>
  <c r="U98" i="7"/>
  <c r="U99" i="7" s="1"/>
  <c r="U100" i="7" s="1"/>
  <c r="U96" i="7"/>
  <c r="M12" i="8" s="1"/>
  <c r="U108" i="7"/>
  <c r="U109" i="7" s="1"/>
  <c r="U110" i="7" s="1"/>
  <c r="U106" i="7"/>
  <c r="M13" i="8" s="1"/>
  <c r="V61" i="7"/>
  <c r="V68" i="7"/>
  <c r="W67" i="7"/>
  <c r="X64" i="7"/>
  <c r="X65" i="7" s="1"/>
  <c r="X71" i="7"/>
  <c r="X72" i="7" s="1"/>
  <c r="X73" i="7" s="1"/>
  <c r="X74" i="7" s="1"/>
  <c r="Y53" i="7"/>
  <c r="X54" i="7"/>
  <c r="X55" i="7" s="1"/>
  <c r="X57" i="7"/>
  <c r="X58" i="7" s="1"/>
  <c r="X59" i="7" s="1"/>
  <c r="X60" i="7" s="1"/>
  <c r="W75" i="7" l="1"/>
  <c r="W46" i="7"/>
  <c r="W103" i="7"/>
  <c r="W104" i="7" s="1"/>
  <c r="W105" i="7" s="1"/>
  <c r="W93" i="7"/>
  <c r="W94" i="7" s="1"/>
  <c r="W95" i="7" s="1"/>
  <c r="W83" i="7"/>
  <c r="W84" i="7" s="1"/>
  <c r="W85" i="7" s="1"/>
  <c r="V98" i="7"/>
  <c r="V99" i="7" s="1"/>
  <c r="V100" i="7" s="1"/>
  <c r="V96" i="7"/>
  <c r="N12" i="8" s="1"/>
  <c r="V47" i="7"/>
  <c r="U48" i="7"/>
  <c r="Y40" i="7"/>
  <c r="X41" i="7"/>
  <c r="X42" i="7" s="1"/>
  <c r="X44" i="7"/>
  <c r="X45" i="7" s="1"/>
  <c r="T76" i="7"/>
  <c r="T62" i="7"/>
  <c r="T69" i="7"/>
  <c r="V106" i="7"/>
  <c r="N13" i="8" s="1"/>
  <c r="V108" i="7"/>
  <c r="V109" i="7" s="1"/>
  <c r="V110" i="7" s="1"/>
  <c r="V88" i="7"/>
  <c r="V89" i="7" s="1"/>
  <c r="V90" i="7" s="1"/>
  <c r="V86" i="7"/>
  <c r="N11" i="8" s="1"/>
  <c r="Y71" i="7"/>
  <c r="Y72" i="7" s="1"/>
  <c r="Y73" i="7" s="1"/>
  <c r="Y64" i="7"/>
  <c r="Y65" i="7" s="1"/>
  <c r="Y66" i="7" s="1"/>
  <c r="Y67" i="7" s="1"/>
  <c r="Y54" i="7"/>
  <c r="Y55" i="7" s="1"/>
  <c r="Y57" i="7"/>
  <c r="Y58" i="7" s="1"/>
  <c r="Y59" i="7" s="1"/>
  <c r="Y60" i="7" s="1"/>
  <c r="X66" i="7"/>
  <c r="W61" i="7"/>
  <c r="X46" i="7" l="1"/>
  <c r="X93" i="7"/>
  <c r="X94" i="7" s="1"/>
  <c r="X95" i="7" s="1"/>
  <c r="X103" i="7"/>
  <c r="X104" i="7" s="1"/>
  <c r="X105" i="7" s="1"/>
  <c r="X83" i="7"/>
  <c r="X84" i="7" s="1"/>
  <c r="X85" i="7" s="1"/>
  <c r="W98" i="7"/>
  <c r="W99" i="7" s="1"/>
  <c r="W100" i="7" s="1"/>
  <c r="W96" i="7"/>
  <c r="O12" i="8" s="1"/>
  <c r="U62" i="7"/>
  <c r="U76" i="7"/>
  <c r="U69" i="7"/>
  <c r="W106" i="7"/>
  <c r="O13" i="8" s="1"/>
  <c r="W108" i="7"/>
  <c r="W109" i="7" s="1"/>
  <c r="W110" i="7" s="1"/>
  <c r="W86" i="7"/>
  <c r="O11" i="8" s="1"/>
  <c r="W88" i="7"/>
  <c r="W89" i="7" s="1"/>
  <c r="W90" i="7" s="1"/>
  <c r="Y44" i="7"/>
  <c r="Y45" i="7" s="1"/>
  <c r="Y41" i="7"/>
  <c r="Y42" i="7" s="1"/>
  <c r="Y48" i="7" s="1"/>
  <c r="V48" i="7"/>
  <c r="W47" i="7"/>
  <c r="X61" i="7"/>
  <c r="X68" i="7"/>
  <c r="Y61" i="7"/>
  <c r="Y68" i="7"/>
  <c r="Y75" i="7"/>
  <c r="X67" i="7"/>
  <c r="W68" i="7"/>
  <c r="X75" i="7"/>
  <c r="Y74" i="7"/>
  <c r="Y76" i="7" l="1"/>
  <c r="V62" i="7"/>
  <c r="V76" i="7"/>
  <c r="V69" i="7"/>
  <c r="Y69" i="7"/>
  <c r="Y46" i="7"/>
  <c r="Y83" i="7"/>
  <c r="Y84" i="7" s="1"/>
  <c r="Y85" i="7" s="1"/>
  <c r="Y103" i="7"/>
  <c r="Y104" i="7" s="1"/>
  <c r="Y105" i="7" s="1"/>
  <c r="Y93" i="7"/>
  <c r="Y94" i="7" s="1"/>
  <c r="Y95" i="7" s="1"/>
  <c r="X98" i="7"/>
  <c r="X99" i="7" s="1"/>
  <c r="X100" i="7" s="1"/>
  <c r="R9" i="7" s="1"/>
  <c r="X96" i="7"/>
  <c r="T9" i="7" s="1"/>
  <c r="X88" i="7"/>
  <c r="X89" i="7" s="1"/>
  <c r="X90" i="7" s="1"/>
  <c r="R8" i="7" s="1"/>
  <c r="X86" i="7"/>
  <c r="T8" i="7" s="1"/>
  <c r="X108" i="7"/>
  <c r="X109" i="7" s="1"/>
  <c r="X110" i="7" s="1"/>
  <c r="R10" i="7" s="1"/>
  <c r="X106" i="7"/>
  <c r="T10" i="7" s="1"/>
  <c r="W48" i="7"/>
  <c r="X47" i="7"/>
  <c r="W76" i="7" l="1"/>
  <c r="W62" i="7"/>
  <c r="Y106" i="7"/>
  <c r="Q13" i="8" s="1"/>
  <c r="Y108" i="7"/>
  <c r="Y109" i="7" s="1"/>
  <c r="Y110" i="7" s="1"/>
  <c r="W69" i="7"/>
  <c r="P13" i="8"/>
  <c r="P12" i="8"/>
  <c r="Y88" i="7"/>
  <c r="Y89" i="7" s="1"/>
  <c r="Y90" i="7" s="1"/>
  <c r="Y86" i="7"/>
  <c r="Q11" i="8" s="1"/>
  <c r="Y47" i="7"/>
  <c r="X48" i="7"/>
  <c r="P11" i="8"/>
  <c r="Y98" i="7"/>
  <c r="Y99" i="7" s="1"/>
  <c r="Y100" i="7" s="1"/>
  <c r="Y96" i="7"/>
  <c r="Q12" i="8" s="1"/>
  <c r="X62" i="7" l="1"/>
  <c r="R5" i="7" s="1"/>
  <c r="S5" i="7" s="1"/>
  <c r="X69" i="7"/>
  <c r="R6" i="7" s="1"/>
  <c r="S6" i="7" s="1"/>
  <c r="X76" i="7"/>
  <c r="R7" i="7" s="1"/>
  <c r="S7" i="7" s="1"/>
  <c r="S9" i="7"/>
  <c r="S10" i="7"/>
  <c r="S8" i="7"/>
</calcChain>
</file>

<file path=xl/sharedStrings.xml><?xml version="1.0" encoding="utf-8"?>
<sst xmlns="http://schemas.openxmlformats.org/spreadsheetml/2006/main" count="149" uniqueCount="85">
  <si>
    <t>Bilan bancaire</t>
  </si>
  <si>
    <t>PNB</t>
  </si>
  <si>
    <t>Résultat</t>
  </si>
  <si>
    <t>Ratio résult/PNB</t>
  </si>
  <si>
    <t>Ratio PNB/assets</t>
  </si>
  <si>
    <t>RWA</t>
  </si>
  <si>
    <t>Capital</t>
  </si>
  <si>
    <t>Entrée</t>
  </si>
  <si>
    <t>Augmentation du capital par année</t>
  </si>
  <si>
    <t>Pourcentage du résultat utilisé pour augmentation du capital</t>
  </si>
  <si>
    <t>Capital préGSF</t>
  </si>
  <si>
    <t>croissance bilan par an</t>
  </si>
  <si>
    <t>Ratio RWA/bilan</t>
  </si>
  <si>
    <t>Résultat annuel - augmentation capital</t>
  </si>
  <si>
    <t>On étudie l'ensemble du secteur bancaire français et on suppose une croissance du bilan bancaire de 4% pour an</t>
  </si>
  <si>
    <r>
      <rPr>
        <b/>
        <sz val="16"/>
        <color theme="1"/>
        <rFont val="Calibri"/>
        <family val="2"/>
        <scheme val="minor"/>
      </rPr>
      <t>Stratégie 1: poursuite de la croissance du bilan selon la tendance</t>
    </r>
    <r>
      <rPr>
        <sz val="12"/>
        <color theme="1"/>
        <rFont val="Calibri"/>
        <family val="2"/>
        <scheme val="minor"/>
      </rPr>
      <t xml:space="preserve"> Le GSF/BPF entre en vigueur en 2021, concuit à une baisse des RWA et donc à une baisse des besoins en recapitalisation</t>
    </r>
  </si>
  <si>
    <t>Le bilan croît au rythme tendanciel, le PNB et le résultat sont identiques aux prévisions du scenario de base</t>
  </si>
  <si>
    <t>Bénéfices dégagés par non recapitalisation (annuel à droite, total à gauche)</t>
  </si>
  <si>
    <r>
      <rPr>
        <b/>
        <u/>
        <sz val="14"/>
        <color theme="1"/>
        <rFont val="Calibri"/>
        <family val="2"/>
        <scheme val="minor"/>
      </rPr>
      <t>Messages clés:</t>
    </r>
    <r>
      <rPr>
        <sz val="14"/>
        <color theme="1"/>
        <rFont val="Calibri"/>
        <family val="2"/>
        <scheme val="minor"/>
      </rPr>
      <t xml:space="preserve"> les bénéfices sont répartis sur les années d'implémentation (+5%/an pdt 7ans)  , et gain perpétuel (1,5%) par rapport au scenario de base</t>
    </r>
  </si>
  <si>
    <t>Le bilan, le PNB et le résultat croissent au rythme des recapitalisations prévues dans le scenario de base</t>
  </si>
  <si>
    <t>Bénéfices dégagés par une croissance du résultat net (annuel à droite, sur 2020-2026 à gauche)</t>
  </si>
  <si>
    <r>
      <rPr>
        <b/>
        <u/>
        <sz val="14"/>
        <color theme="1"/>
        <rFont val="Calibri"/>
        <family val="2"/>
        <scheme val="minor"/>
      </rPr>
      <t>Messages clés:</t>
    </r>
    <r>
      <rPr>
        <sz val="14"/>
        <color theme="1"/>
        <rFont val="Calibri"/>
        <family val="2"/>
        <scheme val="minor"/>
      </rPr>
      <t xml:space="preserve"> l'augmentation du résultat ne se traduit pas par un bénéfice immédiat mais peut permettre à long terme d'avoir un résultat bien plus important que celui prévu tendanciellement</t>
    </r>
  </si>
  <si>
    <t>Différentiel au scenario de base</t>
  </si>
  <si>
    <r>
      <rPr>
        <b/>
        <u/>
        <sz val="14"/>
        <color theme="1"/>
        <rFont val="Calibri"/>
        <family val="2"/>
        <scheme val="minor"/>
      </rPr>
      <t>Messages clés:</t>
    </r>
    <r>
      <rPr>
        <sz val="14"/>
        <color theme="1"/>
        <rFont val="Calibri"/>
        <family val="2"/>
        <scheme val="minor"/>
      </rPr>
      <t xml:space="preserve"> le coût intial est important mais cela est lissé pour la suite</t>
    </r>
  </si>
  <si>
    <t>Année</t>
  </si>
  <si>
    <t>Années</t>
  </si>
  <si>
    <t>Croissance bilan</t>
  </si>
  <si>
    <t>Entrée en vigueur en 2022 du GSF/BPF sur le stock</t>
  </si>
  <si>
    <t>Bénéfices dégagés par non recapitalisation (annuel à droite, sur 2022-2027 à gauche)</t>
  </si>
  <si>
    <r>
      <rPr>
        <b/>
        <u/>
        <sz val="14"/>
        <color theme="1"/>
        <rFont val="Calibri"/>
        <family val="2"/>
        <scheme val="minor"/>
      </rPr>
      <t xml:space="preserve">Scénario volontariste: </t>
    </r>
    <r>
      <rPr>
        <sz val="14"/>
        <color theme="1"/>
        <rFont val="Calibri"/>
        <family val="2"/>
        <scheme val="minor"/>
      </rPr>
      <t>les banques sont rémunérées pour leur stratégie climat</t>
    </r>
  </si>
  <si>
    <r>
      <rPr>
        <b/>
        <u/>
        <sz val="14"/>
        <color theme="1"/>
        <rFont val="Calibri"/>
        <family val="2"/>
        <scheme val="minor"/>
      </rPr>
      <t>Messages clés:</t>
    </r>
    <r>
      <rPr>
        <sz val="14"/>
        <color theme="1"/>
        <rFont val="Calibri"/>
        <family val="2"/>
        <scheme val="minor"/>
      </rPr>
      <t xml:space="preserve"> le gain est progressif sur les 8 premières années</t>
    </r>
  </si>
  <si>
    <t>Scénario 5 ans de retard</t>
  </si>
  <si>
    <t>Scénario sans effort</t>
  </si>
  <si>
    <t>Sorties</t>
  </si>
  <si>
    <t>Recapitalisation minimale</t>
  </si>
  <si>
    <t>Volontariste</t>
  </si>
  <si>
    <t>5 ans de retard</t>
  </si>
  <si>
    <t>Aucun effort</t>
  </si>
  <si>
    <t>Croissance du bilan</t>
  </si>
  <si>
    <r>
      <rPr>
        <b/>
        <u/>
        <sz val="14"/>
        <color theme="1"/>
        <rFont val="Calibri"/>
        <family val="2"/>
        <scheme val="minor"/>
      </rPr>
      <t xml:space="preserve">Scénario volontariste: </t>
    </r>
    <r>
      <rPr>
        <sz val="14"/>
        <color theme="1"/>
        <rFont val="Calibri"/>
        <family val="2"/>
        <scheme val="minor"/>
      </rPr>
      <t xml:space="preserve"> le GSF s'applique sur les flux entrants</t>
    </r>
  </si>
  <si>
    <t>Entrée en vigueur en 2022 du GSF sur les flux entrants</t>
  </si>
  <si>
    <t>Scénario 5 ans de retard:</t>
  </si>
  <si>
    <t>Pour les sources des données financières de D16 à D19, regarder "Panorama des banques françaises", ACPR, 2019</t>
  </si>
  <si>
    <r>
      <rPr>
        <b/>
        <sz val="16"/>
        <color theme="1"/>
        <rFont val="Calibri"/>
        <family val="2"/>
        <scheme val="minor"/>
      </rPr>
      <t>Scénario de base (qui va servir de contrefactuel)</t>
    </r>
    <r>
      <rPr>
        <sz val="11"/>
        <color theme="1"/>
        <rFont val="Calibri"/>
        <family val="2"/>
        <scheme val="minor"/>
      </rPr>
      <t xml:space="preserve"> :  Il s'agit d'une croissance du bilan bancaire ua taux fixé en entrée, d'une marge stable dans le temps (19%) , de RWA en proportion du bilan stable dans le temps(35%), et d'un ratio capital/RWA stable dans le temps à 14,4%</t>
    </r>
  </si>
  <si>
    <t>Extrapolation (à consolider), croissance à 15% qui continue</t>
  </si>
  <si>
    <t>Extrapolation (à consolider), croissance à 11% qui continue</t>
  </si>
  <si>
    <t>Extrapolation (à consolider), croissance au rythme tendanciel</t>
  </si>
  <si>
    <r>
      <t>En fonction des stratégies des banques, le GSF peut permettre d'avoir un effet sur l'offre de crédits. ATTENTION, ce n'est pas un effet certain, et il ne se réalise que si la banque choisit de réinvestir le capital libéré par les baisses des exigences prudentielles dans de nouveaux crédits. Nous affichons ici</t>
    </r>
    <r>
      <rPr>
        <b/>
        <sz val="11"/>
        <color theme="1"/>
        <rFont val="Calibri"/>
        <family val="2"/>
        <scheme val="minor"/>
      </rPr>
      <t xml:space="preserve"> les effets sur le crédit dans le cadre de telles stratégies, il s'agit d'une borne supérieure des effets sur le crédit. Nous affichons les résultats en fonction des scenarii d'investissement dans les banques</t>
    </r>
  </si>
  <si>
    <t>En retard</t>
  </si>
  <si>
    <t>Sans effort</t>
  </si>
  <si>
    <t>EXTRAPOLATION</t>
  </si>
  <si>
    <t>Prévisions I4CE</t>
  </si>
  <si>
    <t>Effet sur le crédit</t>
  </si>
  <si>
    <t>BPF</t>
  </si>
  <si>
    <t>Part brune stock</t>
  </si>
  <si>
    <t>Année de sortie définitive</t>
  </si>
  <si>
    <t>Part Brune</t>
  </si>
  <si>
    <t>Hausse des exigences</t>
  </si>
  <si>
    <t>Scenarii</t>
  </si>
  <si>
    <t>Taux de décroissance 2031-sortie définitive</t>
  </si>
  <si>
    <t>Taux de décroissance 2022-2030 (en points de pourcentage)</t>
  </si>
  <si>
    <t>Retard</t>
  </si>
  <si>
    <t>I) Sortie volontariste</t>
  </si>
  <si>
    <t>II) Sortie avec retard</t>
  </si>
  <si>
    <t>III) Aucune sortie</t>
  </si>
  <si>
    <t>Part carbonée en 2028</t>
  </si>
  <si>
    <t>Part carbonée en 2035</t>
  </si>
  <si>
    <t>Coût la première année</t>
  </si>
  <si>
    <t>Coût supplémentaire en pourcentage du résultat</t>
  </si>
  <si>
    <t>Effet immédiat</t>
  </si>
  <si>
    <t>Effet moyen terme (2022-2028)</t>
  </si>
  <si>
    <t xml:space="preserve">Coût total sur la période </t>
  </si>
  <si>
    <t>Coût en pourcentage du résutat</t>
  </si>
  <si>
    <t>Effet long terme 2035</t>
  </si>
  <si>
    <t>Hausse des exigences en 2028</t>
  </si>
  <si>
    <t>Objectif intermédiaire de réduction pour 2030 (ne sert à rien si sortie avant 2030)</t>
  </si>
  <si>
    <t>Hausse des exigences en 2035</t>
  </si>
  <si>
    <t>Coût total sur la période 2022-2035 (en Md€)</t>
  </si>
  <si>
    <t>Coût total en pourcentage du résultat</t>
  </si>
  <si>
    <t>Retardée</t>
  </si>
  <si>
    <t>Très retardée</t>
  </si>
  <si>
    <t>Lointain</t>
  </si>
  <si>
    <t>IV)</t>
  </si>
  <si>
    <t>V)</t>
  </si>
  <si>
    <t xml:space="preserve">Très volontariste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</si>
</sst>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b/>
      <sz val="12"/>
      <color theme="1"/>
      <name val="Calibri"/>
      <family val="2"/>
      <scheme val="minor"/>
    </font>
    <font>
      <b/>
      <sz val="16"/>
      <color theme="1"/>
      <name val="Calibri"/>
      <family val="2"/>
      <scheme val="minor"/>
    </font>
    <font>
      <sz val="12"/>
      <color theme="1"/>
      <name val="Calibri"/>
      <family val="2"/>
      <scheme val="minor"/>
    </font>
    <font>
      <sz val="14"/>
      <color theme="1"/>
      <name val="Calibri"/>
      <family val="2"/>
      <scheme val="minor"/>
    </font>
    <font>
      <b/>
      <u/>
      <sz val="14"/>
      <color theme="1"/>
      <name val="Calibri"/>
      <family val="2"/>
      <scheme val="minor"/>
    </font>
    <font>
      <b/>
      <sz val="14"/>
      <color rgb="FFFF0000"/>
      <name val="Calibri"/>
      <family val="2"/>
      <scheme val="minor"/>
    </font>
  </fonts>
  <fills count="11">
    <fill>
      <patternFill patternType="none"/>
    </fill>
    <fill>
      <patternFill patternType="gray125"/>
    </fill>
    <fill>
      <patternFill patternType="solid">
        <fgColor theme="8" tint="0.59999389629810485"/>
        <bgColor indexed="64"/>
      </patternFill>
    </fill>
    <fill>
      <patternFill patternType="solid">
        <fgColor rgb="FF92D050"/>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7"/>
        <bgColor indexed="64"/>
      </patternFill>
    </fill>
    <fill>
      <patternFill patternType="solid">
        <fgColor rgb="FFFFC00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7"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86">
    <xf numFmtId="0" fontId="0" fillId="0" borderId="0" xfId="0"/>
    <xf numFmtId="0" fontId="0" fillId="0" borderId="1" xfId="0" applyBorder="1"/>
    <xf numFmtId="164" fontId="0" fillId="0" borderId="1" xfId="1" applyNumberFormat="1" applyFont="1" applyBorder="1"/>
    <xf numFmtId="0" fontId="3" fillId="0" borderId="1" xfId="0" applyFont="1" applyBorder="1"/>
    <xf numFmtId="0" fontId="2" fillId="0" borderId="1" xfId="0" applyFont="1" applyBorder="1"/>
    <xf numFmtId="9" fontId="0" fillId="0" borderId="1" xfId="1" applyFont="1" applyBorder="1"/>
    <xf numFmtId="0" fontId="4" fillId="0" borderId="1" xfId="0" applyFont="1" applyBorder="1"/>
    <xf numFmtId="0" fontId="3" fillId="0" borderId="1" xfId="0" applyFont="1" applyFill="1" applyBorder="1" applyAlignment="1">
      <alignment wrapText="1"/>
    </xf>
    <xf numFmtId="165" fontId="0" fillId="0" borderId="1" xfId="0" applyNumberFormat="1" applyBorder="1"/>
    <xf numFmtId="165" fontId="2" fillId="0" borderId="1" xfId="0" applyNumberFormat="1" applyFont="1" applyBorder="1"/>
    <xf numFmtId="165" fontId="3" fillId="0" borderId="1" xfId="0" applyNumberFormat="1" applyFont="1" applyBorder="1"/>
    <xf numFmtId="0" fontId="0" fillId="0" borderId="1" xfId="0" applyBorder="1" applyAlignment="1">
      <alignment wrapText="1"/>
    </xf>
    <xf numFmtId="0" fontId="3" fillId="0" borderId="2" xfId="0" applyFont="1" applyBorder="1"/>
    <xf numFmtId="0" fontId="0" fillId="0" borderId="1" xfId="0" applyFont="1" applyFill="1" applyBorder="1" applyAlignment="1">
      <alignment wrapText="1"/>
    </xf>
    <xf numFmtId="0" fontId="0" fillId="0" borderId="1" xfId="0" applyFont="1" applyBorder="1"/>
    <xf numFmtId="165" fontId="0" fillId="0" borderId="1" xfId="0" applyNumberFormat="1" applyFont="1" applyBorder="1"/>
    <xf numFmtId="0" fontId="0" fillId="3" borderId="1" xfId="0" applyFill="1" applyBorder="1"/>
    <xf numFmtId="165" fontId="0" fillId="3" borderId="1" xfId="1" applyNumberFormat="1" applyFont="1" applyFill="1" applyBorder="1"/>
    <xf numFmtId="165" fontId="0" fillId="3" borderId="1" xfId="0" applyNumberFormat="1" applyFill="1" applyBorder="1"/>
    <xf numFmtId="165" fontId="2" fillId="3" borderId="1" xfId="0" applyNumberFormat="1" applyFont="1" applyFill="1" applyBorder="1"/>
    <xf numFmtId="0" fontId="0" fillId="0" borderId="1" xfId="0" applyFont="1" applyBorder="1" applyAlignment="1">
      <alignment wrapText="1"/>
    </xf>
    <xf numFmtId="0" fontId="3" fillId="4" borderId="1" xfId="0" applyFont="1" applyFill="1" applyBorder="1" applyAlignment="1">
      <alignment horizontal="center" vertical="center" wrapText="1"/>
    </xf>
    <xf numFmtId="165" fontId="10" fillId="4" borderId="1" xfId="0" applyNumberFormat="1" applyFont="1" applyFill="1" applyBorder="1" applyAlignment="1">
      <alignment horizontal="center" vertical="center" wrapText="1"/>
    </xf>
    <xf numFmtId="0" fontId="0" fillId="0" borderId="5" xfId="0" applyFill="1" applyBorder="1" applyAlignment="1">
      <alignment wrapText="1"/>
    </xf>
    <xf numFmtId="9" fontId="0" fillId="3" borderId="1" xfId="1" applyFont="1" applyFill="1" applyBorder="1"/>
    <xf numFmtId="9" fontId="2" fillId="3" borderId="1" xfId="1" applyFont="1" applyFill="1" applyBorder="1"/>
    <xf numFmtId="2" fontId="3" fillId="0" borderId="1" xfId="0" applyNumberFormat="1" applyFont="1" applyBorder="1"/>
    <xf numFmtId="0" fontId="0" fillId="0" borderId="0" xfId="0" applyBorder="1"/>
    <xf numFmtId="0" fontId="0" fillId="0" borderId="0" xfId="0" applyBorder="1" applyAlignment="1">
      <alignment wrapText="1"/>
    </xf>
    <xf numFmtId="164" fontId="3" fillId="0" borderId="1" xfId="1" applyNumberFormat="1" applyFont="1" applyBorder="1"/>
    <xf numFmtId="164" fontId="3" fillId="0" borderId="0" xfId="1" applyNumberFormat="1" applyFont="1" applyBorder="1"/>
    <xf numFmtId="0" fontId="0" fillId="5" borderId="1" xfId="0" applyFill="1" applyBorder="1"/>
    <xf numFmtId="0" fontId="0" fillId="0" borderId="3" xfId="0" applyBorder="1"/>
    <xf numFmtId="165" fontId="0" fillId="0" borderId="3" xfId="0" applyNumberFormat="1" applyBorder="1"/>
    <xf numFmtId="0" fontId="0" fillId="6" borderId="16" xfId="0" applyFill="1" applyBorder="1" applyAlignment="1">
      <alignment vertical="center"/>
    </xf>
    <xf numFmtId="164" fontId="0" fillId="0" borderId="13" xfId="1" applyNumberFormat="1" applyFont="1" applyBorder="1"/>
    <xf numFmtId="0" fontId="4" fillId="0" borderId="13" xfId="0" applyFont="1" applyBorder="1"/>
    <xf numFmtId="0" fontId="0" fillId="7" borderId="0" xfId="0" applyFill="1" applyBorder="1" applyAlignment="1"/>
    <xf numFmtId="0" fontId="0" fillId="2" borderId="10" xfId="0" applyFill="1" applyBorder="1"/>
    <xf numFmtId="0" fontId="0" fillId="2" borderId="11" xfId="0" applyFill="1" applyBorder="1"/>
    <xf numFmtId="0" fontId="0" fillId="3" borderId="12" xfId="0" applyFill="1" applyBorder="1"/>
    <xf numFmtId="165" fontId="0" fillId="3" borderId="13" xfId="0" applyNumberFormat="1" applyFill="1" applyBorder="1"/>
    <xf numFmtId="0" fontId="0" fillId="0" borderId="13" xfId="0" applyBorder="1"/>
    <xf numFmtId="165" fontId="0" fillId="0" borderId="13" xfId="0" applyNumberFormat="1" applyBorder="1"/>
    <xf numFmtId="165" fontId="0" fillId="0" borderId="0" xfId="0" applyNumberFormat="1" applyBorder="1"/>
    <xf numFmtId="165" fontId="3" fillId="0" borderId="0" xfId="0" applyNumberFormat="1" applyFont="1" applyBorder="1"/>
    <xf numFmtId="164" fontId="0" fillId="0" borderId="0" xfId="1" applyNumberFormat="1" applyFont="1" applyBorder="1"/>
    <xf numFmtId="9" fontId="0" fillId="3" borderId="13" xfId="1" applyFont="1" applyFill="1" applyBorder="1"/>
    <xf numFmtId="165" fontId="3" fillId="0" borderId="13" xfId="0" applyNumberFormat="1" applyFont="1" applyBorder="1"/>
    <xf numFmtId="0" fontId="0" fillId="3" borderId="13" xfId="0" applyFill="1" applyBorder="1"/>
    <xf numFmtId="0" fontId="0" fillId="3" borderId="14" xfId="0" applyFill="1" applyBorder="1"/>
    <xf numFmtId="0" fontId="0" fillId="3" borderId="15" xfId="0" applyFill="1" applyBorder="1"/>
    <xf numFmtId="0" fontId="0" fillId="3" borderId="19" xfId="0" applyFill="1" applyBorder="1"/>
    <xf numFmtId="0" fontId="0" fillId="7" borderId="25" xfId="0" applyFill="1" applyBorder="1" applyAlignment="1"/>
    <xf numFmtId="0" fontId="0" fillId="7" borderId="26" xfId="0" applyFill="1" applyBorder="1" applyAlignment="1"/>
    <xf numFmtId="0" fontId="0" fillId="7" borderId="26" xfId="0" applyFill="1" applyBorder="1"/>
    <xf numFmtId="0" fontId="0" fillId="7" borderId="27" xfId="0" applyFill="1" applyBorder="1"/>
    <xf numFmtId="0" fontId="0" fillId="7" borderId="28" xfId="0" applyFill="1" applyBorder="1" applyAlignment="1"/>
    <xf numFmtId="0" fontId="0" fillId="7" borderId="0" xfId="0" applyFill="1" applyBorder="1"/>
    <xf numFmtId="0" fontId="0" fillId="7" borderId="24" xfId="0" applyFill="1" applyBorder="1"/>
    <xf numFmtId="0" fontId="0" fillId="0" borderId="12" xfId="0" applyBorder="1"/>
    <xf numFmtId="165" fontId="0" fillId="0" borderId="12" xfId="0" applyNumberFormat="1" applyBorder="1"/>
    <xf numFmtId="164" fontId="0" fillId="0" borderId="12" xfId="1" applyNumberFormat="1" applyFont="1" applyBorder="1"/>
    <xf numFmtId="165" fontId="3" fillId="0" borderId="12" xfId="0" applyNumberFormat="1" applyFont="1" applyBorder="1"/>
    <xf numFmtId="0" fontId="0" fillId="7" borderId="29" xfId="0" applyFill="1" applyBorder="1" applyAlignment="1"/>
    <xf numFmtId="0" fontId="0" fillId="7" borderId="30" xfId="0" applyFill="1" applyBorder="1" applyAlignment="1"/>
    <xf numFmtId="0" fontId="0" fillId="7" borderId="30" xfId="0" applyFill="1" applyBorder="1"/>
    <xf numFmtId="0" fontId="0" fillId="7" borderId="31" xfId="0" applyFill="1" applyBorder="1"/>
    <xf numFmtId="9" fontId="0" fillId="0" borderId="12" xfId="1" applyFont="1" applyBorder="1"/>
    <xf numFmtId="9" fontId="0" fillId="0" borderId="13" xfId="1" applyFont="1" applyBorder="1"/>
    <xf numFmtId="165" fontId="0" fillId="0" borderId="12" xfId="0" applyNumberFormat="1" applyFont="1" applyBorder="1"/>
    <xf numFmtId="165" fontId="0" fillId="0" borderId="13" xfId="0" applyNumberFormat="1" applyFont="1" applyBorder="1"/>
    <xf numFmtId="165" fontId="0" fillId="0" borderId="34" xfId="0" applyNumberFormat="1" applyBorder="1"/>
    <xf numFmtId="165" fontId="3" fillId="0" borderId="14" xfId="0" applyNumberFormat="1" applyFont="1" applyBorder="1"/>
    <xf numFmtId="165" fontId="3" fillId="0" borderId="15" xfId="0" applyNumberFormat="1" applyFont="1" applyBorder="1"/>
    <xf numFmtId="165" fontId="3" fillId="0" borderId="19" xfId="0" applyNumberFormat="1" applyFont="1" applyBorder="1"/>
    <xf numFmtId="2" fontId="3" fillId="0" borderId="0" xfId="0" applyNumberFormat="1" applyFont="1" applyBorder="1"/>
    <xf numFmtId="0" fontId="0" fillId="3" borderId="0" xfId="0" applyFill="1" applyBorder="1"/>
    <xf numFmtId="165" fontId="0" fillId="3" borderId="0" xfId="1" applyNumberFormat="1" applyFont="1" applyFill="1" applyBorder="1"/>
    <xf numFmtId="165" fontId="0" fillId="3" borderId="0" xfId="0" applyNumberFormat="1" applyFill="1" applyBorder="1"/>
    <xf numFmtId="165" fontId="0" fillId="3" borderId="24" xfId="0" applyNumberFormat="1" applyFill="1" applyBorder="1"/>
    <xf numFmtId="0" fontId="3" fillId="0" borderId="15" xfId="0" applyFont="1" applyBorder="1" applyAlignment="1">
      <alignment wrapText="1"/>
    </xf>
    <xf numFmtId="0" fontId="0" fillId="0" borderId="16" xfId="0" applyBorder="1" applyAlignment="1"/>
    <xf numFmtId="9" fontId="0" fillId="0" borderId="0" xfId="0" applyNumberFormat="1"/>
    <xf numFmtId="0" fontId="0" fillId="0" borderId="12" xfId="0" applyBorder="1" applyAlignment="1"/>
    <xf numFmtId="0" fontId="0" fillId="0" borderId="14" xfId="0" applyBorder="1"/>
    <xf numFmtId="164" fontId="0" fillId="0" borderId="1" xfId="0" applyNumberFormat="1" applyBorder="1"/>
    <xf numFmtId="0" fontId="0" fillId="0" borderId="12" xfId="0" applyBorder="1" applyAlignment="1">
      <alignment wrapText="1"/>
    </xf>
    <xf numFmtId="164" fontId="0" fillId="0" borderId="15" xfId="1" applyNumberFormat="1" applyFont="1" applyBorder="1"/>
    <xf numFmtId="0" fontId="0" fillId="0" borderId="35" xfId="0" applyBorder="1"/>
    <xf numFmtId="0" fontId="0" fillId="0" borderId="41" xfId="0" applyBorder="1"/>
    <xf numFmtId="165" fontId="4" fillId="0" borderId="12" xfId="0" applyNumberFormat="1" applyFont="1" applyBorder="1"/>
    <xf numFmtId="164" fontId="3" fillId="0" borderId="15" xfId="1" applyNumberFormat="1" applyFont="1" applyBorder="1"/>
    <xf numFmtId="0" fontId="0" fillId="9" borderId="28" xfId="0" applyFill="1" applyBorder="1"/>
    <xf numFmtId="0" fontId="0" fillId="9" borderId="0" xfId="0" applyFill="1" applyBorder="1"/>
    <xf numFmtId="0" fontId="0" fillId="0" borderId="1" xfId="0" applyBorder="1" applyAlignment="1">
      <alignment horizontal="center" vertical="center" wrapText="1"/>
    </xf>
    <xf numFmtId="0" fontId="3" fillId="0" borderId="0" xfId="0" applyFont="1" applyBorder="1" applyAlignment="1">
      <alignment wrapText="1"/>
    </xf>
    <xf numFmtId="0" fontId="3" fillId="0" borderId="1" xfId="0" applyFont="1" applyBorder="1" applyAlignment="1">
      <alignment vertical="center" wrapText="1"/>
    </xf>
    <xf numFmtId="0" fontId="0" fillId="9" borderId="20" xfId="0" applyFill="1" applyBorder="1" applyAlignment="1"/>
    <xf numFmtId="0" fontId="0" fillId="9" borderId="23" xfId="0" applyFill="1" applyBorder="1" applyAlignment="1"/>
    <xf numFmtId="9" fontId="0" fillId="0" borderId="0" xfId="1" applyFont="1"/>
    <xf numFmtId="164" fontId="0" fillId="0" borderId="0" xfId="1" applyNumberFormat="1" applyFont="1"/>
    <xf numFmtId="164" fontId="0" fillId="0" borderId="13" xfId="0" applyNumberFormat="1" applyBorder="1"/>
    <xf numFmtId="164" fontId="0" fillId="0" borderId="19" xfId="0" applyNumberFormat="1" applyBorder="1"/>
    <xf numFmtId="164" fontId="4" fillId="0" borderId="1" xfId="1" applyNumberFormat="1" applyFont="1" applyBorder="1"/>
    <xf numFmtId="0" fontId="0" fillId="0" borderId="3" xfId="0" applyBorder="1" applyAlignment="1">
      <alignment wrapText="1"/>
    </xf>
    <xf numFmtId="164" fontId="2" fillId="0" borderId="3" xfId="0" applyNumberFormat="1" applyFont="1" applyBorder="1"/>
    <xf numFmtId="164" fontId="2" fillId="0" borderId="41" xfId="0" applyNumberFormat="1" applyFont="1" applyBorder="1"/>
    <xf numFmtId="0" fontId="0" fillId="0" borderId="1" xfId="0" applyFill="1" applyBorder="1" applyAlignment="1">
      <alignment wrapText="1"/>
    </xf>
    <xf numFmtId="164" fontId="0" fillId="0" borderId="1" xfId="0" applyNumberFormat="1" applyFont="1" applyBorder="1"/>
    <xf numFmtId="164" fontId="2" fillId="0" borderId="1" xfId="0" applyNumberFormat="1" applyFont="1" applyBorder="1"/>
    <xf numFmtId="164" fontId="0" fillId="0" borderId="12" xfId="0" applyNumberFormat="1" applyBorder="1"/>
    <xf numFmtId="164" fontId="0" fillId="0" borderId="14" xfId="0" applyNumberFormat="1" applyBorder="1"/>
    <xf numFmtId="164" fontId="0" fillId="0" borderId="15" xfId="0" applyNumberFormat="1" applyFont="1" applyBorder="1"/>
    <xf numFmtId="165" fontId="0" fillId="0" borderId="15" xfId="0" applyNumberFormat="1" applyBorder="1"/>
    <xf numFmtId="0" fontId="0" fillId="0" borderId="13" xfId="0" applyFill="1" applyBorder="1" applyAlignment="1">
      <alignment wrapText="1"/>
    </xf>
    <xf numFmtId="0" fontId="0" fillId="0" borderId="3" xfId="0" applyFill="1" applyBorder="1" applyAlignment="1">
      <alignment wrapText="1"/>
    </xf>
    <xf numFmtId="2" fontId="0" fillId="0" borderId="1" xfId="0" applyNumberFormat="1" applyBorder="1"/>
    <xf numFmtId="164" fontId="2" fillId="0" borderId="15" xfId="0" applyNumberFormat="1" applyFont="1" applyBorder="1"/>
    <xf numFmtId="0" fontId="3" fillId="9" borderId="4" xfId="0" applyFont="1" applyFill="1" applyBorder="1" applyAlignment="1">
      <alignment horizontal="center" vertical="center"/>
    </xf>
    <xf numFmtId="0" fontId="4" fillId="9" borderId="44" xfId="0" applyFont="1" applyFill="1" applyBorder="1"/>
    <xf numFmtId="0" fontId="3" fillId="0" borderId="13" xfId="0" applyFont="1" applyBorder="1" applyAlignment="1">
      <alignment wrapText="1"/>
    </xf>
    <xf numFmtId="0" fontId="0" fillId="0" borderId="15" xfId="0" applyBorder="1"/>
    <xf numFmtId="9" fontId="4" fillId="0" borderId="1" xfId="0" applyNumberFormat="1" applyFont="1" applyBorder="1"/>
    <xf numFmtId="0" fontId="4" fillId="0" borderId="6" xfId="0" applyFont="1" applyBorder="1"/>
    <xf numFmtId="9" fontId="4" fillId="0" borderId="24" xfId="0" applyNumberFormat="1" applyFont="1" applyBorder="1"/>
    <xf numFmtId="0" fontId="0" fillId="10" borderId="12" xfId="0" applyFill="1" applyBorder="1" applyAlignment="1">
      <alignment wrapText="1"/>
    </xf>
    <xf numFmtId="9" fontId="0" fillId="0" borderId="19" xfId="0" applyNumberFormat="1" applyBorder="1"/>
    <xf numFmtId="0" fontId="0" fillId="0" borderId="23" xfId="0" applyFill="1" applyBorder="1"/>
    <xf numFmtId="164" fontId="0" fillId="0" borderId="1" xfId="1" applyNumberFormat="1" applyFont="1" applyBorder="1" applyAlignment="1">
      <alignment horizontal="left" indent="2"/>
    </xf>
    <xf numFmtId="164" fontId="0" fillId="6" borderId="1" xfId="1" applyNumberFormat="1" applyFont="1" applyFill="1" applyBorder="1" applyAlignment="1">
      <alignment horizontal="left" indent="2"/>
    </xf>
    <xf numFmtId="10" fontId="0" fillId="0" borderId="0" xfId="1" applyNumberFormat="1" applyFont="1" applyBorder="1"/>
    <xf numFmtId="10" fontId="0" fillId="0" borderId="1" xfId="1" applyNumberFormat="1" applyFont="1" applyBorder="1"/>
    <xf numFmtId="10" fontId="0" fillId="0" borderId="13" xfId="1" applyNumberFormat="1" applyFont="1" applyBorder="1"/>
    <xf numFmtId="10" fontId="0" fillId="0" borderId="12" xfId="1" applyNumberFormat="1" applyFont="1" applyBorder="1"/>
    <xf numFmtId="164" fontId="0" fillId="5" borderId="1" xfId="1" applyNumberFormat="1" applyFont="1" applyFill="1" applyBorder="1"/>
    <xf numFmtId="164" fontId="0" fillId="6" borderId="16" xfId="1" applyNumberFormat="1" applyFont="1" applyFill="1" applyBorder="1" applyAlignment="1">
      <alignment vertical="center"/>
    </xf>
    <xf numFmtId="1" fontId="0" fillId="0" borderId="1" xfId="1" applyNumberFormat="1" applyFont="1" applyBorder="1" applyAlignment="1">
      <alignment horizontal="left" indent="2"/>
    </xf>
    <xf numFmtId="1" fontId="0" fillId="6" borderId="1" xfId="1" applyNumberFormat="1" applyFont="1" applyFill="1" applyBorder="1" applyAlignment="1">
      <alignment horizontal="left" indent="2"/>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9" fillId="0" borderId="2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0" fillId="0" borderId="25"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2" borderId="35" xfId="0" applyFill="1" applyBorder="1" applyAlignment="1">
      <alignment horizontal="center"/>
    </xf>
    <xf numFmtId="0" fontId="0" fillId="2" borderId="36" xfId="0" applyFill="1" applyBorder="1" applyAlignment="1">
      <alignment horizontal="center"/>
    </xf>
    <xf numFmtId="0" fontId="0" fillId="2" borderId="22" xfId="0" applyFill="1" applyBorder="1" applyAlignment="1">
      <alignment horizontal="center"/>
    </xf>
    <xf numFmtId="0" fontId="0" fillId="0" borderId="32" xfId="0" applyBorder="1" applyAlignment="1">
      <alignment horizontal="center" vertical="center" wrapText="1"/>
    </xf>
    <xf numFmtId="0" fontId="0" fillId="0" borderId="23" xfId="0" applyBorder="1" applyAlignment="1">
      <alignment horizontal="center" vertical="center" wrapText="1"/>
    </xf>
    <xf numFmtId="0" fontId="0" fillId="0" borderId="33" xfId="0" applyBorder="1" applyAlignment="1">
      <alignment horizontal="center" vertical="center" wrapText="1"/>
    </xf>
    <xf numFmtId="0" fontId="0" fillId="2" borderId="39" xfId="0" applyFill="1" applyBorder="1" applyAlignment="1">
      <alignment horizontal="center"/>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0" borderId="6" xfId="0" applyFont="1" applyBorder="1" applyAlignment="1">
      <alignment horizontal="center" vertical="center" wrapText="1"/>
    </xf>
    <xf numFmtId="0" fontId="9" fillId="0" borderId="4" xfId="0" applyFont="1" applyBorder="1" applyAlignment="1">
      <alignment horizontal="center" vertical="center" wrapText="1"/>
    </xf>
    <xf numFmtId="0" fontId="0" fillId="0" borderId="18"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8"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2" borderId="21" xfId="0" applyFill="1" applyBorder="1" applyAlignment="1">
      <alignment horizontal="center"/>
    </xf>
    <xf numFmtId="0" fontId="8" fillId="0" borderId="20" xfId="0" applyFont="1"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21" xfId="0" applyBorder="1" applyAlignment="1">
      <alignment horizontal="center"/>
    </xf>
    <xf numFmtId="0" fontId="0" fillId="0" borderId="36"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42" xfId="0" applyBorder="1" applyAlignment="1">
      <alignment horizontal="center" vertical="center"/>
    </xf>
    <xf numFmtId="0" fontId="0" fillId="0" borderId="40" xfId="0" applyBorder="1" applyAlignment="1">
      <alignment horizontal="center" vertical="center"/>
    </xf>
    <xf numFmtId="0" fontId="0" fillId="0" borderId="43" xfId="0" applyBorder="1" applyAlignment="1">
      <alignment horizontal="center" vertical="center"/>
    </xf>
    <xf numFmtId="0" fontId="0" fillId="0" borderId="0" xfId="0" applyAlignment="1">
      <alignment horizontal="center" wrapText="1"/>
    </xf>
    <xf numFmtId="0" fontId="3" fillId="6" borderId="1" xfId="0" applyFont="1" applyFill="1" applyBorder="1" applyAlignment="1">
      <alignment horizontal="center"/>
    </xf>
    <xf numFmtId="0" fontId="0" fillId="6" borderId="1" xfId="0" applyFill="1" applyBorder="1" applyAlignment="1">
      <alignment horizontal="center"/>
    </xf>
    <xf numFmtId="0" fontId="3" fillId="8" borderId="1" xfId="0" applyFont="1" applyFill="1" applyBorder="1" applyAlignment="1">
      <alignment horizontal="center"/>
    </xf>
    <xf numFmtId="164" fontId="4" fillId="0" borderId="13" xfId="1" applyNumberFormat="1" applyFont="1" applyBorder="1"/>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800" b="0" i="0" baseline="0">
                <a:effectLst/>
              </a:rPr>
              <a:t>Baisse du résultat net (en Md€) dans une stratégie de décroissance du bilan</a:t>
            </a:r>
          </a:p>
        </c:rich>
      </c:tx>
      <c:layout>
        <c:manualLayout>
          <c:xMode val="edge"/>
          <c:yMode val="edge"/>
          <c:x val="0.11431286209343332"/>
          <c:y val="3.130145947917500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3"/>
          <c:order val="3"/>
          <c:tx>
            <c:v>Sortie très volontariste</c:v>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'Impact secteur bancaire BPF'!$K$39:$Q$39</c:f>
              <c:numCache>
                <c:formatCode>General</c:formatCode>
                <c:ptCount val="7"/>
                <c:pt idx="0">
                  <c:v>2021</c:v>
                </c:pt>
                <c:pt idx="1">
                  <c:v>2022</c:v>
                </c:pt>
                <c:pt idx="2">
                  <c:v>2023</c:v>
                </c:pt>
                <c:pt idx="3">
                  <c:v>2024</c:v>
                </c:pt>
                <c:pt idx="4">
                  <c:v>2025</c:v>
                </c:pt>
                <c:pt idx="5">
                  <c:v>2026</c:v>
                </c:pt>
                <c:pt idx="6">
                  <c:v>2027</c:v>
                </c:pt>
              </c:numCache>
              <c:extLst xmlns:c15="http://schemas.microsoft.com/office/drawing/2012/chart"/>
            </c:numRef>
          </c:xVal>
          <c:yVal>
            <c:numRef>
              <c:f>'Impact secteur bancaire BPF'!$K$90:$Q$90</c:f>
              <c:numCache>
                <c:formatCode>0.0</c:formatCode>
                <c:ptCount val="7"/>
                <c:pt idx="0">
                  <c:v>0</c:v>
                </c:pt>
                <c:pt idx="1">
                  <c:v>-0.2877875069306981</c:v>
                </c:pt>
                <c:pt idx="2">
                  <c:v>-0.23760741544444386</c:v>
                </c:pt>
                <c:pt idx="3">
                  <c:v>-0.18391664240386163</c:v>
                </c:pt>
                <c:pt idx="4">
                  <c:v>-0.12654100034928817</c:v>
                </c:pt>
                <c:pt idx="5">
                  <c:v>-6.529869225609275E-2</c:v>
                </c:pt>
                <c:pt idx="6">
                  <c:v>0</c:v>
                </c:pt>
              </c:numCache>
              <c:extLst xmlns:c15="http://schemas.microsoft.com/office/drawing/2012/chart"/>
            </c:numRef>
          </c:yVal>
          <c:smooth val="1"/>
          <c:extLst xmlns:c15="http://schemas.microsoft.com/office/drawing/2012/chart">
            <c:ext xmlns:c16="http://schemas.microsoft.com/office/drawing/2014/chart" uri="{C3380CC4-5D6E-409C-BE32-E72D297353CC}">
              <c16:uniqueId val="{00000003-6CF1-4448-9852-DD2D6E2A297E}"/>
            </c:ext>
          </c:extLst>
        </c:ser>
        <c:ser>
          <c:idx val="4"/>
          <c:order val="4"/>
          <c:tx>
            <c:v>Sortie volontariste</c:v>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'Impact secteur bancaire BPF'!$K$39:$Q$39</c:f>
              <c:numCache>
                <c:formatCode>General</c:formatCode>
                <c:ptCount val="7"/>
                <c:pt idx="0">
                  <c:v>2021</c:v>
                </c:pt>
                <c:pt idx="1">
                  <c:v>2022</c:v>
                </c:pt>
                <c:pt idx="2">
                  <c:v>2023</c:v>
                </c:pt>
                <c:pt idx="3">
                  <c:v>2024</c:v>
                </c:pt>
                <c:pt idx="4">
                  <c:v>2025</c:v>
                </c:pt>
                <c:pt idx="5">
                  <c:v>2026</c:v>
                </c:pt>
                <c:pt idx="6">
                  <c:v>2027</c:v>
                </c:pt>
              </c:numCache>
              <c:extLst xmlns:c15="http://schemas.microsoft.com/office/drawing/2012/chart"/>
            </c:numRef>
          </c:xVal>
          <c:yVal>
            <c:numRef>
              <c:f>'Impact secteur bancaire BPF'!$K$100:$Q$100</c:f>
              <c:numCache>
                <c:formatCode>0.0</c:formatCode>
                <c:ptCount val="7"/>
                <c:pt idx="0">
                  <c:v>0</c:v>
                </c:pt>
                <c:pt idx="1">
                  <c:v>-0.2877875069306981</c:v>
                </c:pt>
                <c:pt idx="2">
                  <c:v>-0.27071881670481446</c:v>
                </c:pt>
                <c:pt idx="3">
                  <c:v>-0.25232104696765845</c:v>
                </c:pt>
                <c:pt idx="4">
                  <c:v>-0.23252831296346699</c:v>
                </c:pt>
                <c:pt idx="5">
                  <c:v>-0.21127192382708415</c:v>
                </c:pt>
                <c:pt idx="6">
                  <c:v>-0.18848027189819305</c:v>
                </c:pt>
              </c:numCache>
              <c:extLst xmlns:c15="http://schemas.microsoft.com/office/drawing/2012/chart"/>
            </c:numRef>
          </c:yVal>
          <c:smooth val="1"/>
          <c:extLst xmlns:c15="http://schemas.microsoft.com/office/drawing/2012/chart">
            <c:ext xmlns:c16="http://schemas.microsoft.com/office/drawing/2014/chart" uri="{C3380CC4-5D6E-409C-BE32-E72D297353CC}">
              <c16:uniqueId val="{00000004-6CF1-4448-9852-DD2D6E2A297E}"/>
            </c:ext>
          </c:extLst>
        </c:ser>
        <c:ser>
          <c:idx val="5"/>
          <c:order val="5"/>
          <c:tx>
            <c:v>Sortie retardée</c:v>
          </c:tx>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f>'Impact secteur bancaire BPF'!$K$39:$Q$39</c:f>
              <c:numCache>
                <c:formatCode>General</c:formatCode>
                <c:ptCount val="7"/>
                <c:pt idx="0">
                  <c:v>2021</c:v>
                </c:pt>
                <c:pt idx="1">
                  <c:v>2022</c:v>
                </c:pt>
                <c:pt idx="2">
                  <c:v>2023</c:v>
                </c:pt>
                <c:pt idx="3">
                  <c:v>2024</c:v>
                </c:pt>
                <c:pt idx="4">
                  <c:v>2025</c:v>
                </c:pt>
                <c:pt idx="5">
                  <c:v>2026</c:v>
                </c:pt>
                <c:pt idx="6">
                  <c:v>2027</c:v>
                </c:pt>
              </c:numCache>
              <c:extLst xmlns:c15="http://schemas.microsoft.com/office/drawing/2012/chart"/>
            </c:numRef>
          </c:xVal>
          <c:yVal>
            <c:numRef>
              <c:f>'Impact secteur bancaire BPF'!$K$110:$Q$110</c:f>
              <c:numCache>
                <c:formatCode>0.0</c:formatCode>
                <c:ptCount val="7"/>
                <c:pt idx="0">
                  <c:v>0</c:v>
                </c:pt>
                <c:pt idx="1">
                  <c:v>-0.2877875069306981</c:v>
                </c:pt>
                <c:pt idx="2">
                  <c:v>-0.28908215882495014</c:v>
                </c:pt>
                <c:pt idx="3">
                  <c:v>-0.2901917370734175</c:v>
                </c:pt>
                <c:pt idx="4">
                  <c:v>-0.29110385688477436</c:v>
                </c:pt>
                <c:pt idx="5">
                  <c:v>-0.29180555340209224</c:v>
                </c:pt>
                <c:pt idx="6">
                  <c:v>-0.2922832579360275</c:v>
                </c:pt>
              </c:numCache>
              <c:extLst xmlns:c15="http://schemas.microsoft.com/office/drawing/2012/chart"/>
            </c:numRef>
          </c:yVal>
          <c:smooth val="1"/>
          <c:extLst xmlns:c15="http://schemas.microsoft.com/office/drawing/2012/chart">
            <c:ext xmlns:c16="http://schemas.microsoft.com/office/drawing/2014/chart" uri="{C3380CC4-5D6E-409C-BE32-E72D297353CC}">
              <c16:uniqueId val="{00000005-6CF1-4448-9852-DD2D6E2A297E}"/>
            </c:ext>
          </c:extLst>
        </c:ser>
        <c:dLbls>
          <c:showLegendKey val="0"/>
          <c:showVal val="0"/>
          <c:showCatName val="0"/>
          <c:showSerName val="0"/>
          <c:showPercent val="0"/>
          <c:showBubbleSize val="0"/>
        </c:dLbls>
        <c:axId val="607726112"/>
        <c:axId val="607725696"/>
        <c:extLst>
          <c:ext xmlns:c15="http://schemas.microsoft.com/office/drawing/2012/chart" uri="{02D57815-91ED-43cb-92C2-25804820EDAC}">
            <c15:filteredScatterSeries>
              <c15:ser>
                <c:idx val="0"/>
                <c:order val="0"/>
                <c:tx>
                  <c:v>Sortie très retardée</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extLst>
                      <c:ext uri="{02D57815-91ED-43cb-92C2-25804820EDAC}">
                        <c15:formulaRef>
                          <c15:sqref>'Impact secteur bancaire BPF'!$K$39:$Q$39</c15:sqref>
                        </c15:formulaRef>
                      </c:ext>
                    </c:extLst>
                    <c:numCache>
                      <c:formatCode>General</c:formatCode>
                      <c:ptCount val="7"/>
                      <c:pt idx="0">
                        <c:v>2021</c:v>
                      </c:pt>
                      <c:pt idx="1">
                        <c:v>2022</c:v>
                      </c:pt>
                      <c:pt idx="2">
                        <c:v>2023</c:v>
                      </c:pt>
                      <c:pt idx="3">
                        <c:v>2024</c:v>
                      </c:pt>
                      <c:pt idx="4">
                        <c:v>2025</c:v>
                      </c:pt>
                      <c:pt idx="5">
                        <c:v>2026</c:v>
                      </c:pt>
                      <c:pt idx="6">
                        <c:v>2027</c:v>
                      </c:pt>
                    </c:numCache>
                  </c:numRef>
                </c:xVal>
                <c:yVal>
                  <c:numRef>
                    <c:extLst>
                      <c:ext uri="{02D57815-91ED-43cb-92C2-25804820EDAC}">
                        <c15:formulaRef>
                          <c15:sqref>'Impact secteur bancaire BPF'!$K$62:$Q$62</c15:sqref>
                        </c15:formulaRef>
                      </c:ext>
                    </c:extLst>
                    <c:numCache>
                      <c:formatCode>0.00</c:formatCode>
                      <c:ptCount val="7"/>
                      <c:pt idx="0" formatCode="0.0">
                        <c:v>-3.7141790730000253</c:v>
                      </c:pt>
                      <c:pt idx="1">
                        <c:v>0.65369551684801763</c:v>
                      </c:pt>
                      <c:pt idx="2">
                        <c:v>0.69626000902451324</c:v>
                      </c:pt>
                      <c:pt idx="3">
                        <c:v>0.74079004476669752</c:v>
                      </c:pt>
                      <c:pt idx="4" formatCode="0.0">
                        <c:v>0.78736524864496005</c:v>
                      </c:pt>
                      <c:pt idx="5" formatCode="0.0">
                        <c:v>0.83606825371583682</c:v>
                      </c:pt>
                      <c:pt idx="6" formatCode="0.0">
                        <c:v>0</c:v>
                      </c:pt>
                    </c:numCache>
                  </c:numRef>
                </c:yVal>
                <c:smooth val="1"/>
                <c:extLst>
                  <c:ext xmlns:c16="http://schemas.microsoft.com/office/drawing/2014/chart" uri="{C3380CC4-5D6E-409C-BE32-E72D297353CC}">
                    <c16:uniqueId val="{00000000-6CF1-4448-9852-DD2D6E2A297E}"/>
                  </c:ext>
                </c:extLst>
              </c15:ser>
            </c15:filteredScatterSeries>
            <c15:filteredScatterSeries>
              <c15:ser>
                <c:idx val="1"/>
                <c:order val="1"/>
                <c:tx>
                  <c:v>Sortie très lointaine</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xmlns:c15="http://schemas.microsoft.com/office/drawing/2012/chart">
                      <c:ext xmlns:c15="http://schemas.microsoft.com/office/drawing/2012/chart" uri="{02D57815-91ED-43cb-92C2-25804820EDAC}">
                        <c15:formulaRef>
                          <c15:sqref>'Impact secteur bancaire BPF'!$K$39:$Q$39</c15:sqref>
                        </c15:formulaRef>
                      </c:ext>
                    </c:extLst>
                    <c:numCache>
                      <c:formatCode>General</c:formatCode>
                      <c:ptCount val="7"/>
                      <c:pt idx="0">
                        <c:v>2021</c:v>
                      </c:pt>
                      <c:pt idx="1">
                        <c:v>2022</c:v>
                      </c:pt>
                      <c:pt idx="2">
                        <c:v>2023</c:v>
                      </c:pt>
                      <c:pt idx="3">
                        <c:v>2024</c:v>
                      </c:pt>
                      <c:pt idx="4">
                        <c:v>2025</c:v>
                      </c:pt>
                      <c:pt idx="5">
                        <c:v>2026</c:v>
                      </c:pt>
                      <c:pt idx="6">
                        <c:v>2027</c:v>
                      </c:pt>
                    </c:numCache>
                  </c:numRef>
                </c:xVal>
                <c:yVal>
                  <c:numRef>
                    <c:extLst xmlns:c15="http://schemas.microsoft.com/office/drawing/2012/chart">
                      <c:ext xmlns:c15="http://schemas.microsoft.com/office/drawing/2012/chart" uri="{02D57815-91ED-43cb-92C2-25804820EDAC}">
                        <c15:formulaRef>
                          <c15:sqref>'Impact secteur bancaire BPF'!$K$69:$Q$69</c15:sqref>
                        </c15:formulaRef>
                      </c:ext>
                    </c:extLst>
                    <c:numCache>
                      <c:formatCode>0.0</c:formatCode>
                      <c:ptCount val="7"/>
                      <c:pt idx="0">
                        <c:v>-3.7141790730000253</c:v>
                      </c:pt>
                      <c:pt idx="1">
                        <c:v>0.22331501676410426</c:v>
                      </c:pt>
                      <c:pt idx="2">
                        <c:v>0.24005667893567306</c:v>
                      </c:pt>
                      <c:pt idx="3">
                        <c:v>0.25760185732252694</c:v>
                      </c:pt>
                      <c:pt idx="4">
                        <c:v>0.27598369540135081</c:v>
                      </c:pt>
                      <c:pt idx="5">
                        <c:v>0.29523660209338232</c:v>
                      </c:pt>
                      <c:pt idx="6">
                        <c:v>0.31539629786107071</c:v>
                      </c:pt>
                    </c:numCache>
                  </c:numRef>
                </c:yVal>
                <c:smooth val="1"/>
                <c:extLst xmlns:c15="http://schemas.microsoft.com/office/drawing/2012/chart">
                  <c:ext xmlns:c16="http://schemas.microsoft.com/office/drawing/2014/chart" uri="{C3380CC4-5D6E-409C-BE32-E72D297353CC}">
                    <c16:uniqueId val="{00000001-6CF1-4448-9852-DD2D6E2A297E}"/>
                  </c:ext>
                </c:extLst>
              </c15:ser>
            </c15:filteredScatterSeries>
            <c15:filteredScatterSeries>
              <c15:ser>
                <c:idx val="2"/>
                <c:order val="2"/>
                <c:tx>
                  <c:v>Sortie retardée</c:v>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extLst xmlns:c15="http://schemas.microsoft.com/office/drawing/2012/chart">
                      <c:ext xmlns:c15="http://schemas.microsoft.com/office/drawing/2012/chart" uri="{02D57815-91ED-43cb-92C2-25804820EDAC}">
                        <c15:formulaRef>
                          <c15:sqref>'Impact secteur bancaire BPF'!$K$39:$Q$39</c15:sqref>
                        </c15:formulaRef>
                      </c:ext>
                    </c:extLst>
                    <c:numCache>
                      <c:formatCode>General</c:formatCode>
                      <c:ptCount val="7"/>
                      <c:pt idx="0">
                        <c:v>2021</c:v>
                      </c:pt>
                      <c:pt idx="1">
                        <c:v>2022</c:v>
                      </c:pt>
                      <c:pt idx="2">
                        <c:v>2023</c:v>
                      </c:pt>
                      <c:pt idx="3">
                        <c:v>2024</c:v>
                      </c:pt>
                      <c:pt idx="4">
                        <c:v>2025</c:v>
                      </c:pt>
                      <c:pt idx="5">
                        <c:v>2026</c:v>
                      </c:pt>
                      <c:pt idx="6">
                        <c:v>2027</c:v>
                      </c:pt>
                    </c:numCache>
                  </c:numRef>
                </c:xVal>
                <c:yVal>
                  <c:numRef>
                    <c:extLst xmlns:c15="http://schemas.microsoft.com/office/drawing/2012/chart">
                      <c:ext xmlns:c15="http://schemas.microsoft.com/office/drawing/2012/chart" uri="{02D57815-91ED-43cb-92C2-25804820EDAC}">
                        <c15:formulaRef>
                          <c15:sqref>'Impact secteur bancaire BPF'!$K$76:$Q$76</c15:sqref>
                        </c15:formulaRef>
                      </c:ext>
                    </c:extLst>
                    <c:numCache>
                      <c:formatCode>0.0</c:formatCode>
                      <c:ptCount val="7"/>
                      <c:pt idx="0">
                        <c:v>-3.7141790730000253</c:v>
                      </c:pt>
                      <c:pt idx="1">
                        <c:v>-1.5785261060216271E-2</c:v>
                      </c:pt>
                      <c:pt idx="2">
                        <c:v>-1.338961555819651E-2</c:v>
                      </c:pt>
                      <c:pt idx="3">
                        <c:v>-1.0836024590958004E-2</c:v>
                      </c:pt>
                      <c:pt idx="4">
                        <c:v>-8.1171675117843733E-3</c:v>
                      </c:pt>
                      <c:pt idx="5">
                        <c:v>-5.2254265857527571E-3</c:v>
                      </c:pt>
                      <c:pt idx="6">
                        <c:v>-2.1528757532678355E-3</c:v>
                      </c:pt>
                    </c:numCache>
                  </c:numRef>
                </c:yVal>
                <c:smooth val="1"/>
                <c:extLst xmlns:c15="http://schemas.microsoft.com/office/drawing/2012/chart">
                  <c:ext xmlns:c16="http://schemas.microsoft.com/office/drawing/2014/chart" uri="{C3380CC4-5D6E-409C-BE32-E72D297353CC}">
                    <c16:uniqueId val="{00000002-6CF1-4448-9852-DD2D6E2A297E}"/>
                  </c:ext>
                </c:extLst>
              </c15:ser>
            </c15:filteredScatterSeries>
          </c:ext>
        </c:extLst>
      </c:scatterChart>
      <c:valAx>
        <c:axId val="6077261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7725696"/>
        <c:crosses val="autoZero"/>
        <c:crossBetween val="midCat"/>
      </c:valAx>
      <c:valAx>
        <c:axId val="60772569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772611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Effet sur le crédit d'un BPF dans</a:t>
            </a:r>
            <a:r>
              <a:rPr lang="fr-FR" baseline="0"/>
              <a:t> le cadre d'un comportement particulier des banques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0"/>
          <c:order val="0"/>
          <c:tx>
            <c:v>Sortie très volontariste</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'Impact secteur bancaire BPF'!$J$39:$R$39</c:f>
              <c:numCache>
                <c:formatCode>General</c:formatCode>
                <c:ptCount val="9"/>
                <c:pt idx="0">
                  <c:v>2020</c:v>
                </c:pt>
                <c:pt idx="1">
                  <c:v>2021</c:v>
                </c:pt>
                <c:pt idx="2">
                  <c:v>2022</c:v>
                </c:pt>
                <c:pt idx="3">
                  <c:v>2023</c:v>
                </c:pt>
                <c:pt idx="4">
                  <c:v>2024</c:v>
                </c:pt>
                <c:pt idx="5">
                  <c:v>2025</c:v>
                </c:pt>
                <c:pt idx="6">
                  <c:v>2026</c:v>
                </c:pt>
                <c:pt idx="7">
                  <c:v>2027</c:v>
                </c:pt>
                <c:pt idx="8">
                  <c:v>2028</c:v>
                </c:pt>
              </c:numCache>
            </c:numRef>
          </c:xVal>
          <c:yVal>
            <c:numRef>
              <c:f>'Impact secteur bancaire BPF'!$J$86:$R$86</c:f>
              <c:numCache>
                <c:formatCode>0.00%</c:formatCode>
                <c:ptCount val="9"/>
                <c:pt idx="0">
                  <c:v>0</c:v>
                </c:pt>
                <c:pt idx="1">
                  <c:v>0</c:v>
                </c:pt>
                <c:pt idx="2">
                  <c:v>-9.9009900990099878E-3</c:v>
                </c:pt>
                <c:pt idx="3">
                  <c:v>-7.9365079365079066E-3</c:v>
                </c:pt>
                <c:pt idx="4">
                  <c:v>-5.9642147117295466E-3</c:v>
                </c:pt>
                <c:pt idx="5">
                  <c:v>-3.9840637450198188E-3</c:v>
                </c:pt>
                <c:pt idx="6">
                  <c:v>-1.9960079840319858E-3</c:v>
                </c:pt>
                <c:pt idx="7">
                  <c:v>0</c:v>
                </c:pt>
                <c:pt idx="8">
                  <c:v>0</c:v>
                </c:pt>
              </c:numCache>
            </c:numRef>
          </c:yVal>
          <c:smooth val="1"/>
          <c:extLst>
            <c:ext xmlns:c16="http://schemas.microsoft.com/office/drawing/2014/chart" uri="{C3380CC4-5D6E-409C-BE32-E72D297353CC}">
              <c16:uniqueId val="{00000000-02AD-4E34-9D5F-F8AC4677440E}"/>
            </c:ext>
          </c:extLst>
        </c:ser>
        <c:ser>
          <c:idx val="1"/>
          <c:order val="1"/>
          <c:tx>
            <c:v>Sortie volontariste</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'Impact secteur bancaire BPF'!$J$39:$R$39</c:f>
              <c:numCache>
                <c:formatCode>General</c:formatCode>
                <c:ptCount val="9"/>
                <c:pt idx="0">
                  <c:v>2020</c:v>
                </c:pt>
                <c:pt idx="1">
                  <c:v>2021</c:v>
                </c:pt>
                <c:pt idx="2">
                  <c:v>2022</c:v>
                </c:pt>
                <c:pt idx="3">
                  <c:v>2023</c:v>
                </c:pt>
                <c:pt idx="4">
                  <c:v>2024</c:v>
                </c:pt>
                <c:pt idx="5">
                  <c:v>2025</c:v>
                </c:pt>
                <c:pt idx="6">
                  <c:v>2026</c:v>
                </c:pt>
                <c:pt idx="7">
                  <c:v>2027</c:v>
                </c:pt>
                <c:pt idx="8">
                  <c:v>2028</c:v>
                </c:pt>
              </c:numCache>
            </c:numRef>
          </c:xVal>
          <c:yVal>
            <c:numRef>
              <c:f>'Impact secteur bancaire BPF'!$J$96:$R$96</c:f>
              <c:numCache>
                <c:formatCode>0.0%</c:formatCode>
                <c:ptCount val="9"/>
                <c:pt idx="0">
                  <c:v>0</c:v>
                </c:pt>
                <c:pt idx="1">
                  <c:v>0</c:v>
                </c:pt>
                <c:pt idx="2">
                  <c:v>-9.9009900990099878E-3</c:v>
                </c:pt>
                <c:pt idx="3">
                  <c:v>-9.0424873033568571E-3</c:v>
                </c:pt>
                <c:pt idx="4">
                  <c:v>-8.1824944210265767E-3</c:v>
                </c:pt>
                <c:pt idx="5">
                  <c:v>-7.3210075691771117E-3</c:v>
                </c:pt>
                <c:pt idx="6">
                  <c:v>-6.4580228514653677E-3</c:v>
                </c:pt>
                <c:pt idx="7">
                  <c:v>-5.5935363579863598E-3</c:v>
                </c:pt>
                <c:pt idx="8">
                  <c:v>-4.727544165215254E-3</c:v>
                </c:pt>
              </c:numCache>
            </c:numRef>
          </c:yVal>
          <c:smooth val="1"/>
          <c:extLst>
            <c:ext xmlns:c16="http://schemas.microsoft.com/office/drawing/2014/chart" uri="{C3380CC4-5D6E-409C-BE32-E72D297353CC}">
              <c16:uniqueId val="{00000001-02AD-4E34-9D5F-F8AC4677440E}"/>
            </c:ext>
          </c:extLst>
        </c:ser>
        <c:ser>
          <c:idx val="2"/>
          <c:order val="2"/>
          <c:tx>
            <c:v>Sortie retardée</c:v>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'Impact secteur bancaire BPF'!$J$39:$R$39</c:f>
              <c:numCache>
                <c:formatCode>General</c:formatCode>
                <c:ptCount val="9"/>
                <c:pt idx="0">
                  <c:v>2020</c:v>
                </c:pt>
                <c:pt idx="1">
                  <c:v>2021</c:v>
                </c:pt>
                <c:pt idx="2">
                  <c:v>2022</c:v>
                </c:pt>
                <c:pt idx="3">
                  <c:v>2023</c:v>
                </c:pt>
                <c:pt idx="4">
                  <c:v>2024</c:v>
                </c:pt>
                <c:pt idx="5">
                  <c:v>2025</c:v>
                </c:pt>
                <c:pt idx="6">
                  <c:v>2026</c:v>
                </c:pt>
                <c:pt idx="7">
                  <c:v>2027</c:v>
                </c:pt>
                <c:pt idx="8">
                  <c:v>2028</c:v>
                </c:pt>
              </c:numCache>
            </c:numRef>
          </c:xVal>
          <c:yVal>
            <c:numRef>
              <c:f>'Impact secteur bancaire BPF'!$J$106:$R$106</c:f>
              <c:numCache>
                <c:formatCode>0.0%</c:formatCode>
                <c:ptCount val="9"/>
                <c:pt idx="0">
                  <c:v>0</c:v>
                </c:pt>
                <c:pt idx="1">
                  <c:v>0</c:v>
                </c:pt>
                <c:pt idx="2">
                  <c:v>-9.9009900990099878E-3</c:v>
                </c:pt>
                <c:pt idx="3">
                  <c:v>-9.6558554097546691E-3</c:v>
                </c:pt>
                <c:pt idx="4">
                  <c:v>-9.4105993065874884E-3</c:v>
                </c:pt>
                <c:pt idx="5">
                  <c:v>-9.1652216992815956E-3</c:v>
                </c:pt>
                <c:pt idx="6">
                  <c:v>-8.9197224975221638E-3</c:v>
                </c:pt>
                <c:pt idx="7">
                  <c:v>-8.674101610904714E-3</c:v>
                </c:pt>
                <c:pt idx="8">
                  <c:v>-8.4283589489340376E-3</c:v>
                </c:pt>
              </c:numCache>
            </c:numRef>
          </c:yVal>
          <c:smooth val="1"/>
          <c:extLst>
            <c:ext xmlns:c16="http://schemas.microsoft.com/office/drawing/2014/chart" uri="{C3380CC4-5D6E-409C-BE32-E72D297353CC}">
              <c16:uniqueId val="{00000002-02AD-4E34-9D5F-F8AC4677440E}"/>
            </c:ext>
          </c:extLst>
        </c:ser>
        <c:dLbls>
          <c:showLegendKey val="0"/>
          <c:showVal val="0"/>
          <c:showCatName val="0"/>
          <c:showSerName val="0"/>
          <c:showPercent val="0"/>
          <c:showBubbleSize val="0"/>
        </c:dLbls>
        <c:axId val="1251667152"/>
        <c:axId val="1251667984"/>
      </c:scatterChart>
      <c:valAx>
        <c:axId val="12516671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51667984"/>
        <c:crosses val="autoZero"/>
        <c:crossBetween val="midCat"/>
      </c:valAx>
      <c:valAx>
        <c:axId val="12516679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5166715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800" b="0" i="0" baseline="0">
                <a:effectLst/>
              </a:rPr>
              <a:t>Besoins supplémentaire en recapitalisation par année pour le système bancaire français dans une stratégie de maintien du bilan</a:t>
            </a:r>
          </a:p>
        </c:rich>
      </c:tx>
      <c:layout>
        <c:manualLayout>
          <c:xMode val="edge"/>
          <c:yMode val="edge"/>
          <c:x val="0.24304250559284118"/>
          <c:y val="4.870624048706240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0"/>
          <c:order val="0"/>
          <c:tx>
            <c:v>Sortie très volontariste</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'Impact secteur bancaire BPF'!$K$39:$Q$39</c:f>
              <c:numCache>
                <c:formatCode>General</c:formatCode>
                <c:ptCount val="7"/>
                <c:pt idx="0">
                  <c:v>2021</c:v>
                </c:pt>
                <c:pt idx="1">
                  <c:v>2022</c:v>
                </c:pt>
                <c:pt idx="2">
                  <c:v>2023</c:v>
                </c:pt>
                <c:pt idx="3">
                  <c:v>2024</c:v>
                </c:pt>
                <c:pt idx="4">
                  <c:v>2025</c:v>
                </c:pt>
                <c:pt idx="5">
                  <c:v>2026</c:v>
                </c:pt>
                <c:pt idx="6">
                  <c:v>2027</c:v>
                </c:pt>
              </c:numCache>
              <c:extLst xmlns:c15="http://schemas.microsoft.com/office/drawing/2012/chart"/>
            </c:numRef>
          </c:xVal>
          <c:yVal>
            <c:numRef>
              <c:f>'Impact secteur bancaire BPF'!$K$62:$Q$62</c:f>
              <c:numCache>
                <c:formatCode>0.00</c:formatCode>
                <c:ptCount val="7"/>
                <c:pt idx="0" formatCode="0.0">
                  <c:v>-3.7141790730000253</c:v>
                </c:pt>
                <c:pt idx="1">
                  <c:v>0.65369551684801763</c:v>
                </c:pt>
                <c:pt idx="2">
                  <c:v>0.69626000902451324</c:v>
                </c:pt>
                <c:pt idx="3">
                  <c:v>0.74079004476669752</c:v>
                </c:pt>
                <c:pt idx="4" formatCode="0.0">
                  <c:v>0.78736524864496005</c:v>
                </c:pt>
                <c:pt idx="5" formatCode="0.0">
                  <c:v>0.83606825371583682</c:v>
                </c:pt>
                <c:pt idx="6" formatCode="0.0">
                  <c:v>0</c:v>
                </c:pt>
              </c:numCache>
              <c:extLst xmlns:c15="http://schemas.microsoft.com/office/drawing/2012/chart"/>
            </c:numRef>
          </c:yVal>
          <c:smooth val="1"/>
          <c:extLst xmlns:c15="http://schemas.microsoft.com/office/drawing/2012/chart">
            <c:ext xmlns:c16="http://schemas.microsoft.com/office/drawing/2014/chart" uri="{C3380CC4-5D6E-409C-BE32-E72D297353CC}">
              <c16:uniqueId val="{00000003-94A3-43B6-AAC8-815DA8F9B77A}"/>
            </c:ext>
          </c:extLst>
        </c:ser>
        <c:ser>
          <c:idx val="1"/>
          <c:order val="1"/>
          <c:tx>
            <c:v>Sortie volontariste</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'Impact secteur bancaire BPF'!$K$39:$Q$39</c:f>
              <c:numCache>
                <c:formatCode>General</c:formatCode>
                <c:ptCount val="7"/>
                <c:pt idx="0">
                  <c:v>2021</c:v>
                </c:pt>
                <c:pt idx="1">
                  <c:v>2022</c:v>
                </c:pt>
                <c:pt idx="2">
                  <c:v>2023</c:v>
                </c:pt>
                <c:pt idx="3">
                  <c:v>2024</c:v>
                </c:pt>
                <c:pt idx="4">
                  <c:v>2025</c:v>
                </c:pt>
                <c:pt idx="5">
                  <c:v>2026</c:v>
                </c:pt>
                <c:pt idx="6">
                  <c:v>2027</c:v>
                </c:pt>
              </c:numCache>
              <c:extLst xmlns:c15="http://schemas.microsoft.com/office/drawing/2012/chart"/>
            </c:numRef>
          </c:xVal>
          <c:yVal>
            <c:numRef>
              <c:f>'Impact secteur bancaire BPF'!$K$69:$Q$69</c:f>
              <c:numCache>
                <c:formatCode>0.0</c:formatCode>
                <c:ptCount val="7"/>
                <c:pt idx="0">
                  <c:v>-3.7141790730000253</c:v>
                </c:pt>
                <c:pt idx="1">
                  <c:v>0.22331501676410426</c:v>
                </c:pt>
                <c:pt idx="2">
                  <c:v>0.24005667893567306</c:v>
                </c:pt>
                <c:pt idx="3">
                  <c:v>0.25760185732252694</c:v>
                </c:pt>
                <c:pt idx="4">
                  <c:v>0.27598369540135081</c:v>
                </c:pt>
                <c:pt idx="5">
                  <c:v>0.29523660209338232</c:v>
                </c:pt>
                <c:pt idx="6">
                  <c:v>0.31539629786107071</c:v>
                </c:pt>
              </c:numCache>
              <c:extLst xmlns:c15="http://schemas.microsoft.com/office/drawing/2012/chart"/>
            </c:numRef>
          </c:yVal>
          <c:smooth val="1"/>
          <c:extLst xmlns:c15="http://schemas.microsoft.com/office/drawing/2012/chart">
            <c:ext xmlns:c16="http://schemas.microsoft.com/office/drawing/2014/chart" uri="{C3380CC4-5D6E-409C-BE32-E72D297353CC}">
              <c16:uniqueId val="{00000004-94A3-43B6-AAC8-815DA8F9B77A}"/>
            </c:ext>
          </c:extLst>
        </c:ser>
        <c:ser>
          <c:idx val="2"/>
          <c:order val="2"/>
          <c:tx>
            <c:v>Sortie retardée</c:v>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'Impact secteur bancaire BPF'!$K$39:$Q$39</c:f>
              <c:numCache>
                <c:formatCode>General</c:formatCode>
                <c:ptCount val="7"/>
                <c:pt idx="0">
                  <c:v>2021</c:v>
                </c:pt>
                <c:pt idx="1">
                  <c:v>2022</c:v>
                </c:pt>
                <c:pt idx="2">
                  <c:v>2023</c:v>
                </c:pt>
                <c:pt idx="3">
                  <c:v>2024</c:v>
                </c:pt>
                <c:pt idx="4">
                  <c:v>2025</c:v>
                </c:pt>
                <c:pt idx="5">
                  <c:v>2026</c:v>
                </c:pt>
                <c:pt idx="6">
                  <c:v>2027</c:v>
                </c:pt>
              </c:numCache>
              <c:extLst xmlns:c15="http://schemas.microsoft.com/office/drawing/2012/chart"/>
            </c:numRef>
          </c:xVal>
          <c:yVal>
            <c:numRef>
              <c:f>'Impact secteur bancaire BPF'!$K$76:$Q$76</c:f>
              <c:numCache>
                <c:formatCode>0.0</c:formatCode>
                <c:ptCount val="7"/>
                <c:pt idx="0">
                  <c:v>-3.7141790730000253</c:v>
                </c:pt>
                <c:pt idx="1">
                  <c:v>-1.5785261060216271E-2</c:v>
                </c:pt>
                <c:pt idx="2">
                  <c:v>-1.338961555819651E-2</c:v>
                </c:pt>
                <c:pt idx="3">
                  <c:v>-1.0836024590958004E-2</c:v>
                </c:pt>
                <c:pt idx="4">
                  <c:v>-8.1171675117843733E-3</c:v>
                </c:pt>
                <c:pt idx="5">
                  <c:v>-5.2254265857527571E-3</c:v>
                </c:pt>
                <c:pt idx="6">
                  <c:v>-2.1528757532678355E-3</c:v>
                </c:pt>
              </c:numCache>
              <c:extLst xmlns:c15="http://schemas.microsoft.com/office/drawing/2012/chart"/>
            </c:numRef>
          </c:yVal>
          <c:smooth val="1"/>
          <c:extLst xmlns:c15="http://schemas.microsoft.com/office/drawing/2012/chart">
            <c:ext xmlns:c16="http://schemas.microsoft.com/office/drawing/2014/chart" uri="{C3380CC4-5D6E-409C-BE32-E72D297353CC}">
              <c16:uniqueId val="{00000005-94A3-43B6-AAC8-815DA8F9B77A}"/>
            </c:ext>
          </c:extLst>
        </c:ser>
        <c:dLbls>
          <c:showLegendKey val="0"/>
          <c:showVal val="0"/>
          <c:showCatName val="0"/>
          <c:showSerName val="0"/>
          <c:showPercent val="0"/>
          <c:showBubbleSize val="0"/>
        </c:dLbls>
        <c:axId val="607726112"/>
        <c:axId val="607725696"/>
        <c:extLst>
          <c:ext xmlns:c15="http://schemas.microsoft.com/office/drawing/2012/chart" uri="{02D57815-91ED-43cb-92C2-25804820EDAC}">
            <c15:filteredScatterSeries>
              <c15:ser>
                <c:idx val="3"/>
                <c:order val="3"/>
                <c:tx>
                  <c:v>Sortie très volontariste</c:v>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extLst>
                      <c:ext uri="{02D57815-91ED-43cb-92C2-25804820EDAC}">
                        <c15:formulaRef>
                          <c15:sqref>'Impact secteur bancaire BPF'!$K$39:$Q$39</c15:sqref>
                        </c15:formulaRef>
                      </c:ext>
                    </c:extLst>
                    <c:numCache>
                      <c:formatCode>General</c:formatCode>
                      <c:ptCount val="7"/>
                      <c:pt idx="0">
                        <c:v>2021</c:v>
                      </c:pt>
                      <c:pt idx="1">
                        <c:v>2022</c:v>
                      </c:pt>
                      <c:pt idx="2">
                        <c:v>2023</c:v>
                      </c:pt>
                      <c:pt idx="3">
                        <c:v>2024</c:v>
                      </c:pt>
                      <c:pt idx="4">
                        <c:v>2025</c:v>
                      </c:pt>
                      <c:pt idx="5">
                        <c:v>2026</c:v>
                      </c:pt>
                      <c:pt idx="6">
                        <c:v>2027</c:v>
                      </c:pt>
                    </c:numCache>
                  </c:numRef>
                </c:xVal>
                <c:yVal>
                  <c:numRef>
                    <c:extLst>
                      <c:ext uri="{02D57815-91ED-43cb-92C2-25804820EDAC}">
                        <c15:formulaRef>
                          <c15:sqref>'Impact secteur bancaire BPF'!$K$90:$Q$90</c15:sqref>
                        </c15:formulaRef>
                      </c:ext>
                    </c:extLst>
                    <c:numCache>
                      <c:formatCode>0.0</c:formatCode>
                      <c:ptCount val="7"/>
                      <c:pt idx="0">
                        <c:v>0</c:v>
                      </c:pt>
                      <c:pt idx="1">
                        <c:v>-0.2877875069306981</c:v>
                      </c:pt>
                      <c:pt idx="2">
                        <c:v>-0.23760741544444386</c:v>
                      </c:pt>
                      <c:pt idx="3">
                        <c:v>-0.18391664240386163</c:v>
                      </c:pt>
                      <c:pt idx="4">
                        <c:v>-0.12654100034928817</c:v>
                      </c:pt>
                      <c:pt idx="5">
                        <c:v>-6.529869225609275E-2</c:v>
                      </c:pt>
                      <c:pt idx="6">
                        <c:v>0</c:v>
                      </c:pt>
                    </c:numCache>
                  </c:numRef>
                </c:yVal>
                <c:smooth val="1"/>
                <c:extLst>
                  <c:ext xmlns:c16="http://schemas.microsoft.com/office/drawing/2014/chart" uri="{C3380CC4-5D6E-409C-BE32-E72D297353CC}">
                    <c16:uniqueId val="{00000000-94A3-43B6-AAC8-815DA8F9B77A}"/>
                  </c:ext>
                </c:extLst>
              </c15:ser>
            </c15:filteredScatterSeries>
            <c15:filteredScatterSeries>
              <c15:ser>
                <c:idx val="4"/>
                <c:order val="4"/>
                <c:tx>
                  <c:v>Sortie volontariste</c:v>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extLst xmlns:c15="http://schemas.microsoft.com/office/drawing/2012/chart">
                      <c:ext xmlns:c15="http://schemas.microsoft.com/office/drawing/2012/chart" uri="{02D57815-91ED-43cb-92C2-25804820EDAC}">
                        <c15:formulaRef>
                          <c15:sqref>'Impact secteur bancaire BPF'!$K$39:$Q$39</c15:sqref>
                        </c15:formulaRef>
                      </c:ext>
                    </c:extLst>
                    <c:numCache>
                      <c:formatCode>General</c:formatCode>
                      <c:ptCount val="7"/>
                      <c:pt idx="0">
                        <c:v>2021</c:v>
                      </c:pt>
                      <c:pt idx="1">
                        <c:v>2022</c:v>
                      </c:pt>
                      <c:pt idx="2">
                        <c:v>2023</c:v>
                      </c:pt>
                      <c:pt idx="3">
                        <c:v>2024</c:v>
                      </c:pt>
                      <c:pt idx="4">
                        <c:v>2025</c:v>
                      </c:pt>
                      <c:pt idx="5">
                        <c:v>2026</c:v>
                      </c:pt>
                      <c:pt idx="6">
                        <c:v>2027</c:v>
                      </c:pt>
                    </c:numCache>
                  </c:numRef>
                </c:xVal>
                <c:yVal>
                  <c:numRef>
                    <c:extLst xmlns:c15="http://schemas.microsoft.com/office/drawing/2012/chart">
                      <c:ext xmlns:c15="http://schemas.microsoft.com/office/drawing/2012/chart" uri="{02D57815-91ED-43cb-92C2-25804820EDAC}">
                        <c15:formulaRef>
                          <c15:sqref>'Impact secteur bancaire BPF'!$K$100:$Q$100</c15:sqref>
                        </c15:formulaRef>
                      </c:ext>
                    </c:extLst>
                    <c:numCache>
                      <c:formatCode>0.0</c:formatCode>
                      <c:ptCount val="7"/>
                      <c:pt idx="0">
                        <c:v>0</c:v>
                      </c:pt>
                      <c:pt idx="1">
                        <c:v>-0.2877875069306981</c:v>
                      </c:pt>
                      <c:pt idx="2">
                        <c:v>-0.27071881670481446</c:v>
                      </c:pt>
                      <c:pt idx="3">
                        <c:v>-0.25232104696765845</c:v>
                      </c:pt>
                      <c:pt idx="4">
                        <c:v>-0.23252831296346699</c:v>
                      </c:pt>
                      <c:pt idx="5">
                        <c:v>-0.21127192382708415</c:v>
                      </c:pt>
                      <c:pt idx="6">
                        <c:v>-0.18848027189819305</c:v>
                      </c:pt>
                    </c:numCache>
                  </c:numRef>
                </c:yVal>
                <c:smooth val="1"/>
                <c:extLst xmlns:c15="http://schemas.microsoft.com/office/drawing/2012/chart">
                  <c:ext xmlns:c16="http://schemas.microsoft.com/office/drawing/2014/chart" uri="{C3380CC4-5D6E-409C-BE32-E72D297353CC}">
                    <c16:uniqueId val="{00000001-94A3-43B6-AAC8-815DA8F9B77A}"/>
                  </c:ext>
                </c:extLst>
              </c15:ser>
            </c15:filteredScatterSeries>
            <c15:filteredScatterSeries>
              <c15:ser>
                <c:idx val="5"/>
                <c:order val="5"/>
                <c:tx>
                  <c:v>Sortie retardée</c:v>
                </c:tx>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extLst xmlns:c15="http://schemas.microsoft.com/office/drawing/2012/chart">
                      <c:ext xmlns:c15="http://schemas.microsoft.com/office/drawing/2012/chart" uri="{02D57815-91ED-43cb-92C2-25804820EDAC}">
                        <c15:formulaRef>
                          <c15:sqref>'Impact secteur bancaire BPF'!$K$39:$Q$39</c15:sqref>
                        </c15:formulaRef>
                      </c:ext>
                    </c:extLst>
                    <c:numCache>
                      <c:formatCode>General</c:formatCode>
                      <c:ptCount val="7"/>
                      <c:pt idx="0">
                        <c:v>2021</c:v>
                      </c:pt>
                      <c:pt idx="1">
                        <c:v>2022</c:v>
                      </c:pt>
                      <c:pt idx="2">
                        <c:v>2023</c:v>
                      </c:pt>
                      <c:pt idx="3">
                        <c:v>2024</c:v>
                      </c:pt>
                      <c:pt idx="4">
                        <c:v>2025</c:v>
                      </c:pt>
                      <c:pt idx="5">
                        <c:v>2026</c:v>
                      </c:pt>
                      <c:pt idx="6">
                        <c:v>2027</c:v>
                      </c:pt>
                    </c:numCache>
                  </c:numRef>
                </c:xVal>
                <c:yVal>
                  <c:numRef>
                    <c:extLst xmlns:c15="http://schemas.microsoft.com/office/drawing/2012/chart">
                      <c:ext xmlns:c15="http://schemas.microsoft.com/office/drawing/2012/chart" uri="{02D57815-91ED-43cb-92C2-25804820EDAC}">
                        <c15:formulaRef>
                          <c15:sqref>'Impact secteur bancaire BPF'!$K$110:$Q$110</c15:sqref>
                        </c15:formulaRef>
                      </c:ext>
                    </c:extLst>
                    <c:numCache>
                      <c:formatCode>0.0</c:formatCode>
                      <c:ptCount val="7"/>
                      <c:pt idx="0">
                        <c:v>0</c:v>
                      </c:pt>
                      <c:pt idx="1">
                        <c:v>-0.2877875069306981</c:v>
                      </c:pt>
                      <c:pt idx="2">
                        <c:v>-0.28908215882495014</c:v>
                      </c:pt>
                      <c:pt idx="3">
                        <c:v>-0.2901917370734175</c:v>
                      </c:pt>
                      <c:pt idx="4">
                        <c:v>-0.29110385688477436</c:v>
                      </c:pt>
                      <c:pt idx="5">
                        <c:v>-0.29180555340209224</c:v>
                      </c:pt>
                      <c:pt idx="6">
                        <c:v>-0.2922832579360275</c:v>
                      </c:pt>
                    </c:numCache>
                  </c:numRef>
                </c:yVal>
                <c:smooth val="1"/>
                <c:extLst xmlns:c15="http://schemas.microsoft.com/office/drawing/2012/chart">
                  <c:ext xmlns:c16="http://schemas.microsoft.com/office/drawing/2014/chart" uri="{C3380CC4-5D6E-409C-BE32-E72D297353CC}">
                    <c16:uniqueId val="{00000002-94A3-43B6-AAC8-815DA8F9B77A}"/>
                  </c:ext>
                </c:extLst>
              </c15:ser>
            </c15:filteredScatterSeries>
          </c:ext>
        </c:extLst>
      </c:scatterChart>
      <c:valAx>
        <c:axId val="6077261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7725696"/>
        <c:crosses val="autoZero"/>
        <c:crossBetween val="midCat"/>
      </c:valAx>
      <c:valAx>
        <c:axId val="60772569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772611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Surplus</a:t>
            </a:r>
            <a:r>
              <a:rPr lang="fr-FR" baseline="0"/>
              <a:t> de crédit par rapport au scénario de base</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0"/>
          <c:order val="0"/>
          <c:tx>
            <c:strRef>
              <c:f>'Effet sur le crédit'!$B$11</c:f>
              <c:strCache>
                <c:ptCount val="1"/>
                <c:pt idx="0">
                  <c:v>Volontariste</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'Effet sur le crédit'!$C$10:$J$10</c:f>
              <c:numCache>
                <c:formatCode>0</c:formatCode>
                <c:ptCount val="8"/>
                <c:pt idx="0">
                  <c:v>2021</c:v>
                </c:pt>
                <c:pt idx="1">
                  <c:v>2022</c:v>
                </c:pt>
                <c:pt idx="2">
                  <c:v>2023</c:v>
                </c:pt>
                <c:pt idx="3">
                  <c:v>2024</c:v>
                </c:pt>
                <c:pt idx="4">
                  <c:v>2025</c:v>
                </c:pt>
                <c:pt idx="5">
                  <c:v>2026</c:v>
                </c:pt>
                <c:pt idx="6">
                  <c:v>2027</c:v>
                </c:pt>
                <c:pt idx="7">
                  <c:v>2028</c:v>
                </c:pt>
              </c:numCache>
            </c:numRef>
          </c:xVal>
          <c:yVal>
            <c:numRef>
              <c:f>'Effet sur le crédit'!$C$11:$J$11</c:f>
              <c:numCache>
                <c:formatCode>0.0%</c:formatCode>
                <c:ptCount val="8"/>
                <c:pt idx="0">
                  <c:v>0</c:v>
                </c:pt>
                <c:pt idx="1">
                  <c:v>-9.9009900990099878E-3</c:v>
                </c:pt>
                <c:pt idx="2">
                  <c:v>-7.9365079365079066E-3</c:v>
                </c:pt>
                <c:pt idx="3">
                  <c:v>-5.9642147117295466E-3</c:v>
                </c:pt>
                <c:pt idx="4">
                  <c:v>-3.9840637450198188E-3</c:v>
                </c:pt>
                <c:pt idx="5">
                  <c:v>-1.9960079840319858E-3</c:v>
                </c:pt>
                <c:pt idx="6">
                  <c:v>0</c:v>
                </c:pt>
                <c:pt idx="7">
                  <c:v>0</c:v>
                </c:pt>
              </c:numCache>
            </c:numRef>
          </c:yVal>
          <c:smooth val="1"/>
          <c:extLst>
            <c:ext xmlns:c16="http://schemas.microsoft.com/office/drawing/2014/chart" uri="{C3380CC4-5D6E-409C-BE32-E72D297353CC}">
              <c16:uniqueId val="{00000000-5E45-4ADA-BA59-C6A84E2EDA31}"/>
            </c:ext>
          </c:extLst>
        </c:ser>
        <c:ser>
          <c:idx val="1"/>
          <c:order val="1"/>
          <c:tx>
            <c:strRef>
              <c:f>'Effet sur le crédit'!$B$12</c:f>
              <c:strCache>
                <c:ptCount val="1"/>
                <c:pt idx="0">
                  <c:v>En retard</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'Effet sur le crédit'!$C$10:$J$10</c:f>
              <c:numCache>
                <c:formatCode>0</c:formatCode>
                <c:ptCount val="8"/>
                <c:pt idx="0">
                  <c:v>2021</c:v>
                </c:pt>
                <c:pt idx="1">
                  <c:v>2022</c:v>
                </c:pt>
                <c:pt idx="2">
                  <c:v>2023</c:v>
                </c:pt>
                <c:pt idx="3">
                  <c:v>2024</c:v>
                </c:pt>
                <c:pt idx="4">
                  <c:v>2025</c:v>
                </c:pt>
                <c:pt idx="5">
                  <c:v>2026</c:v>
                </c:pt>
                <c:pt idx="6">
                  <c:v>2027</c:v>
                </c:pt>
                <c:pt idx="7">
                  <c:v>2028</c:v>
                </c:pt>
              </c:numCache>
            </c:numRef>
          </c:xVal>
          <c:yVal>
            <c:numRef>
              <c:f>'Effet sur le crédit'!$C$12:$J$12</c:f>
              <c:numCache>
                <c:formatCode>0.0%</c:formatCode>
                <c:ptCount val="8"/>
                <c:pt idx="0">
                  <c:v>0</c:v>
                </c:pt>
                <c:pt idx="1">
                  <c:v>-9.9009900990099878E-3</c:v>
                </c:pt>
                <c:pt idx="2">
                  <c:v>-9.0424873033568571E-3</c:v>
                </c:pt>
                <c:pt idx="3">
                  <c:v>-8.1824944210265767E-3</c:v>
                </c:pt>
                <c:pt idx="4">
                  <c:v>-7.3210075691771117E-3</c:v>
                </c:pt>
                <c:pt idx="5">
                  <c:v>-6.4580228514653677E-3</c:v>
                </c:pt>
                <c:pt idx="6">
                  <c:v>-5.5935363579863598E-3</c:v>
                </c:pt>
                <c:pt idx="7">
                  <c:v>-4.727544165215254E-3</c:v>
                </c:pt>
              </c:numCache>
            </c:numRef>
          </c:yVal>
          <c:smooth val="1"/>
          <c:extLst>
            <c:ext xmlns:c16="http://schemas.microsoft.com/office/drawing/2014/chart" uri="{C3380CC4-5D6E-409C-BE32-E72D297353CC}">
              <c16:uniqueId val="{00000001-5E45-4ADA-BA59-C6A84E2EDA31}"/>
            </c:ext>
          </c:extLst>
        </c:ser>
        <c:ser>
          <c:idx val="2"/>
          <c:order val="2"/>
          <c:tx>
            <c:strRef>
              <c:f>'Effet sur le crédit'!$B$13</c:f>
              <c:strCache>
                <c:ptCount val="1"/>
                <c:pt idx="0">
                  <c:v>Sans effort</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'Effet sur le crédit'!$C$10:$J$10</c:f>
              <c:numCache>
                <c:formatCode>0</c:formatCode>
                <c:ptCount val="8"/>
                <c:pt idx="0">
                  <c:v>2021</c:v>
                </c:pt>
                <c:pt idx="1">
                  <c:v>2022</c:v>
                </c:pt>
                <c:pt idx="2">
                  <c:v>2023</c:v>
                </c:pt>
                <c:pt idx="3">
                  <c:v>2024</c:v>
                </c:pt>
                <c:pt idx="4">
                  <c:v>2025</c:v>
                </c:pt>
                <c:pt idx="5">
                  <c:v>2026</c:v>
                </c:pt>
                <c:pt idx="6">
                  <c:v>2027</c:v>
                </c:pt>
                <c:pt idx="7">
                  <c:v>2028</c:v>
                </c:pt>
              </c:numCache>
            </c:numRef>
          </c:xVal>
          <c:yVal>
            <c:numRef>
              <c:f>'Effet sur le crédit'!$C$13:$J$13</c:f>
              <c:numCache>
                <c:formatCode>0.0%</c:formatCode>
                <c:ptCount val="8"/>
                <c:pt idx="0">
                  <c:v>0</c:v>
                </c:pt>
                <c:pt idx="1">
                  <c:v>-9.9009900990099878E-3</c:v>
                </c:pt>
                <c:pt idx="2">
                  <c:v>-9.6558554097546691E-3</c:v>
                </c:pt>
                <c:pt idx="3">
                  <c:v>-9.4105993065874884E-3</c:v>
                </c:pt>
                <c:pt idx="4">
                  <c:v>-9.1652216992815956E-3</c:v>
                </c:pt>
                <c:pt idx="5">
                  <c:v>-8.9197224975221638E-3</c:v>
                </c:pt>
                <c:pt idx="6">
                  <c:v>-8.674101610904714E-3</c:v>
                </c:pt>
                <c:pt idx="7">
                  <c:v>-8.4283589489340376E-3</c:v>
                </c:pt>
              </c:numCache>
            </c:numRef>
          </c:yVal>
          <c:smooth val="1"/>
          <c:extLst>
            <c:ext xmlns:c16="http://schemas.microsoft.com/office/drawing/2014/chart" uri="{C3380CC4-5D6E-409C-BE32-E72D297353CC}">
              <c16:uniqueId val="{00000002-5E45-4ADA-BA59-C6A84E2EDA31}"/>
            </c:ext>
          </c:extLst>
        </c:ser>
        <c:dLbls>
          <c:dLblPos val="t"/>
          <c:showLegendKey val="0"/>
          <c:showVal val="1"/>
          <c:showCatName val="0"/>
          <c:showSerName val="0"/>
          <c:showPercent val="0"/>
          <c:showBubbleSize val="0"/>
        </c:dLbls>
        <c:axId val="1512066399"/>
        <c:axId val="1512060991"/>
      </c:scatterChart>
      <c:valAx>
        <c:axId val="1512066399"/>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12060991"/>
        <c:crosses val="autoZero"/>
        <c:crossBetween val="midCat"/>
      </c:valAx>
      <c:valAx>
        <c:axId val="151206099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12066399"/>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Extrapolation jusqu'en 2035 des effets du GSF sur le crédit,</a:t>
            </a:r>
            <a:r>
              <a:rPr lang="fr-FR" baseline="0"/>
              <a:t> nécessite un comportement particulier des banques</a:t>
            </a:r>
          </a:p>
        </c:rich>
      </c:tx>
      <c:layout>
        <c:manualLayout>
          <c:xMode val="edge"/>
          <c:yMode val="edge"/>
          <c:x val="0.14001059883412825"/>
          <c:y val="2.640263634333287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0"/>
          <c:order val="0"/>
          <c:tx>
            <c:strRef>
              <c:f>'Effet sur le crédit'!$B$11</c:f>
              <c:strCache>
                <c:ptCount val="1"/>
                <c:pt idx="0">
                  <c:v>Volontariste</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'Effet sur le crédit'!$C$10:$Q$10</c:f>
              <c:numCache>
                <c:formatCode>0</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xVal>
          <c:yVal>
            <c:numRef>
              <c:f>'Effet sur le crédit'!$C$11:$Q$11</c:f>
              <c:numCache>
                <c:formatCode>0.0%</c:formatCode>
                <c:ptCount val="15"/>
                <c:pt idx="0">
                  <c:v>0</c:v>
                </c:pt>
                <c:pt idx="1">
                  <c:v>-9.9009900990099878E-3</c:v>
                </c:pt>
                <c:pt idx="2">
                  <c:v>-7.9365079365079066E-3</c:v>
                </c:pt>
                <c:pt idx="3">
                  <c:v>-5.9642147117295466E-3</c:v>
                </c:pt>
                <c:pt idx="4">
                  <c:v>-3.9840637450198188E-3</c:v>
                </c:pt>
                <c:pt idx="5">
                  <c:v>-1.9960079840319858E-3</c:v>
                </c:pt>
                <c:pt idx="6">
                  <c:v>0</c:v>
                </c:pt>
                <c:pt idx="7">
                  <c:v>0</c:v>
                </c:pt>
                <c:pt idx="8">
                  <c:v>0</c:v>
                </c:pt>
                <c:pt idx="9">
                  <c:v>0</c:v>
                </c:pt>
                <c:pt idx="10">
                  <c:v>0</c:v>
                </c:pt>
                <c:pt idx="11">
                  <c:v>0</c:v>
                </c:pt>
                <c:pt idx="12">
                  <c:v>0</c:v>
                </c:pt>
                <c:pt idx="13">
                  <c:v>0</c:v>
                </c:pt>
                <c:pt idx="14">
                  <c:v>0</c:v>
                </c:pt>
              </c:numCache>
            </c:numRef>
          </c:yVal>
          <c:smooth val="1"/>
          <c:extLst>
            <c:ext xmlns:c16="http://schemas.microsoft.com/office/drawing/2014/chart" uri="{C3380CC4-5D6E-409C-BE32-E72D297353CC}">
              <c16:uniqueId val="{00000000-2B7D-4CE5-8655-AD27140E8F57}"/>
            </c:ext>
          </c:extLst>
        </c:ser>
        <c:ser>
          <c:idx val="1"/>
          <c:order val="1"/>
          <c:tx>
            <c:strRef>
              <c:f>'Effet sur le crédit'!$B$12</c:f>
              <c:strCache>
                <c:ptCount val="1"/>
                <c:pt idx="0">
                  <c:v>En retard</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'Effet sur le crédit'!$C$10:$Q$10</c:f>
              <c:numCache>
                <c:formatCode>0</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xVal>
          <c:yVal>
            <c:numRef>
              <c:f>'Effet sur le crédit'!$C$12:$Q$12</c:f>
              <c:numCache>
                <c:formatCode>0.0%</c:formatCode>
                <c:ptCount val="15"/>
                <c:pt idx="0">
                  <c:v>0</c:v>
                </c:pt>
                <c:pt idx="1">
                  <c:v>-9.9009900990099878E-3</c:v>
                </c:pt>
                <c:pt idx="2">
                  <c:v>-9.0424873033568571E-3</c:v>
                </c:pt>
                <c:pt idx="3">
                  <c:v>-8.1824944210265767E-3</c:v>
                </c:pt>
                <c:pt idx="4">
                  <c:v>-7.3210075691771117E-3</c:v>
                </c:pt>
                <c:pt idx="5">
                  <c:v>-6.4580228514653677E-3</c:v>
                </c:pt>
                <c:pt idx="6">
                  <c:v>-5.5935363579863598E-3</c:v>
                </c:pt>
                <c:pt idx="7">
                  <c:v>-4.727544165215254E-3</c:v>
                </c:pt>
                <c:pt idx="8">
                  <c:v>-3.8600423359482355E-3</c:v>
                </c:pt>
                <c:pt idx="9">
                  <c:v>-2.9910269192420938E-3</c:v>
                </c:pt>
                <c:pt idx="10">
                  <c:v>-2.3942537909018026E-3</c:v>
                </c:pt>
                <c:pt idx="11">
                  <c:v>-1.796765821521294E-3</c:v>
                </c:pt>
                <c:pt idx="12">
                  <c:v>-1.198561725928964E-3</c:v>
                </c:pt>
                <c:pt idx="13">
                  <c:v>-5.9964021587040372E-4</c:v>
                </c:pt>
                <c:pt idx="14">
                  <c:v>0</c:v>
                </c:pt>
              </c:numCache>
            </c:numRef>
          </c:yVal>
          <c:smooth val="1"/>
          <c:extLst>
            <c:ext xmlns:c16="http://schemas.microsoft.com/office/drawing/2014/chart" uri="{C3380CC4-5D6E-409C-BE32-E72D297353CC}">
              <c16:uniqueId val="{00000001-2B7D-4CE5-8655-AD27140E8F57}"/>
            </c:ext>
          </c:extLst>
        </c:ser>
        <c:ser>
          <c:idx val="2"/>
          <c:order val="2"/>
          <c:tx>
            <c:strRef>
              <c:f>'Effet sur le crédit'!$B$13</c:f>
              <c:strCache>
                <c:ptCount val="1"/>
                <c:pt idx="0">
                  <c:v>Sans effort</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'Effet sur le crédit'!$C$10:$Q$10</c:f>
              <c:numCache>
                <c:formatCode>0</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xVal>
          <c:yVal>
            <c:numRef>
              <c:f>'Effet sur le crédit'!$C$13:$Q$13</c:f>
              <c:numCache>
                <c:formatCode>0.0%</c:formatCode>
                <c:ptCount val="15"/>
                <c:pt idx="0">
                  <c:v>0</c:v>
                </c:pt>
                <c:pt idx="1">
                  <c:v>-9.9009900990099878E-3</c:v>
                </c:pt>
                <c:pt idx="2">
                  <c:v>-9.6558554097546691E-3</c:v>
                </c:pt>
                <c:pt idx="3">
                  <c:v>-9.4105993065874884E-3</c:v>
                </c:pt>
                <c:pt idx="4">
                  <c:v>-9.1652216992815956E-3</c:v>
                </c:pt>
                <c:pt idx="5">
                  <c:v>-8.9197224975221638E-3</c:v>
                </c:pt>
                <c:pt idx="6">
                  <c:v>-8.674101610904714E-3</c:v>
                </c:pt>
                <c:pt idx="7">
                  <c:v>-8.4283589489340376E-3</c:v>
                </c:pt>
                <c:pt idx="8">
                  <c:v>-8.1824944210266842E-3</c:v>
                </c:pt>
                <c:pt idx="9">
                  <c:v>-7.9365079365079326E-3</c:v>
                </c:pt>
                <c:pt idx="10">
                  <c:v>-6.3593004769476619E-3</c:v>
                </c:pt>
                <c:pt idx="11">
                  <c:v>-4.7770700636941693E-3</c:v>
                </c:pt>
                <c:pt idx="12">
                  <c:v>-3.1897926634770445E-3</c:v>
                </c:pt>
                <c:pt idx="13">
                  <c:v>-1.5974440894569164E-3</c:v>
                </c:pt>
                <c:pt idx="14">
                  <c:v>0</c:v>
                </c:pt>
              </c:numCache>
            </c:numRef>
          </c:yVal>
          <c:smooth val="1"/>
          <c:extLst>
            <c:ext xmlns:c16="http://schemas.microsoft.com/office/drawing/2014/chart" uri="{C3380CC4-5D6E-409C-BE32-E72D297353CC}">
              <c16:uniqueId val="{00000002-2B7D-4CE5-8655-AD27140E8F57}"/>
            </c:ext>
          </c:extLst>
        </c:ser>
        <c:dLbls>
          <c:dLblPos val="t"/>
          <c:showLegendKey val="0"/>
          <c:showVal val="1"/>
          <c:showCatName val="0"/>
          <c:showSerName val="0"/>
          <c:showPercent val="0"/>
          <c:showBubbleSize val="0"/>
        </c:dLbls>
        <c:axId val="1124092624"/>
        <c:axId val="1124105104"/>
      </c:scatterChart>
      <c:valAx>
        <c:axId val="112409262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24105104"/>
        <c:crosses val="autoZero"/>
        <c:crossBetween val="midCat"/>
      </c:valAx>
      <c:valAx>
        <c:axId val="11241051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2409262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11907</xdr:colOff>
      <xdr:row>13</xdr:row>
      <xdr:rowOff>238126</xdr:rowOff>
    </xdr:from>
    <xdr:to>
      <xdr:col>7</xdr:col>
      <xdr:colOff>71438</xdr:colOff>
      <xdr:row>32</xdr:row>
      <xdr:rowOff>47626</xdr:rowOff>
    </xdr:to>
    <xdr:graphicFrame macro="">
      <xdr:nvGraphicFramePr>
        <xdr:cNvPr id="2" name="Graphique 1">
          <a:extLst>
            <a:ext uri="{FF2B5EF4-FFF2-40B4-BE49-F238E27FC236}">
              <a16:creationId xmlns:a16="http://schemas.microsoft.com/office/drawing/2014/main" id="{D8BA585A-F620-428B-8829-FF175396D8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613170</xdr:colOff>
      <xdr:row>13</xdr:row>
      <xdr:rowOff>196452</xdr:rowOff>
    </xdr:from>
    <xdr:to>
      <xdr:col>21</xdr:col>
      <xdr:colOff>613170</xdr:colOff>
      <xdr:row>31</xdr:row>
      <xdr:rowOff>119062</xdr:rowOff>
    </xdr:to>
    <xdr:graphicFrame macro="">
      <xdr:nvGraphicFramePr>
        <xdr:cNvPr id="5" name="Graphique 4">
          <a:extLst>
            <a:ext uri="{FF2B5EF4-FFF2-40B4-BE49-F238E27FC236}">
              <a16:creationId xmlns:a16="http://schemas.microsoft.com/office/drawing/2014/main" id="{7F307117-BE13-40FC-AC22-BD58EE68A2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464344</xdr:colOff>
      <xdr:row>13</xdr:row>
      <xdr:rowOff>333376</xdr:rowOff>
    </xdr:from>
    <xdr:to>
      <xdr:col>14</xdr:col>
      <xdr:colOff>678655</xdr:colOff>
      <xdr:row>31</xdr:row>
      <xdr:rowOff>166688</xdr:rowOff>
    </xdr:to>
    <xdr:graphicFrame macro="">
      <xdr:nvGraphicFramePr>
        <xdr:cNvPr id="6" name="Graphique 5">
          <a:extLst>
            <a:ext uri="{FF2B5EF4-FFF2-40B4-BE49-F238E27FC236}">
              <a16:creationId xmlns:a16="http://schemas.microsoft.com/office/drawing/2014/main" id="{E40332B5-734A-407A-911F-3FFE97F000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328611</xdr:colOff>
      <xdr:row>13</xdr:row>
      <xdr:rowOff>85726</xdr:rowOff>
    </xdr:from>
    <xdr:to>
      <xdr:col>9</xdr:col>
      <xdr:colOff>504825</xdr:colOff>
      <xdr:row>30</xdr:row>
      <xdr:rowOff>152400</xdr:rowOff>
    </xdr:to>
    <xdr:graphicFrame macro="">
      <xdr:nvGraphicFramePr>
        <xdr:cNvPr id="2" name="Graphique 1">
          <a:extLst>
            <a:ext uri="{FF2B5EF4-FFF2-40B4-BE49-F238E27FC236}">
              <a16:creationId xmlns:a16="http://schemas.microsoft.com/office/drawing/2014/main" id="{AD3D9E25-66A1-43DD-B76F-AA2E31C1E3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133349</xdr:colOff>
      <xdr:row>13</xdr:row>
      <xdr:rowOff>52387</xdr:rowOff>
    </xdr:from>
    <xdr:to>
      <xdr:col>18</xdr:col>
      <xdr:colOff>28574</xdr:colOff>
      <xdr:row>30</xdr:row>
      <xdr:rowOff>180975</xdr:rowOff>
    </xdr:to>
    <xdr:graphicFrame macro="">
      <xdr:nvGraphicFramePr>
        <xdr:cNvPr id="3" name="Graphique 2">
          <a:extLst>
            <a:ext uri="{FF2B5EF4-FFF2-40B4-BE49-F238E27FC236}">
              <a16:creationId xmlns:a16="http://schemas.microsoft.com/office/drawing/2014/main" id="{6F2C0BFD-15E4-459E-B0FE-6AA7B19DAC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776A3-3BAA-46CE-A617-6C87C04ED2E5}">
  <dimension ref="B1:AL111"/>
  <sheetViews>
    <sheetView tabSelected="1" zoomScale="80" zoomScaleNormal="80" workbookViewId="0">
      <selection activeCell="A8" sqref="A8"/>
    </sheetView>
  </sheetViews>
  <sheetFormatPr baseColWidth="10" defaultRowHeight="15" x14ac:dyDescent="0.25"/>
  <cols>
    <col min="2" max="2" width="20.5703125" customWidth="1"/>
    <col min="3" max="3" width="21" customWidth="1"/>
    <col min="4" max="4" width="22.85546875" customWidth="1"/>
    <col min="5" max="5" width="16.7109375" customWidth="1"/>
    <col min="6" max="6" width="17.85546875" customWidth="1"/>
    <col min="7" max="7" width="15.140625" customWidth="1"/>
    <col min="8" max="8" width="12.5703125" customWidth="1"/>
  </cols>
  <sheetData>
    <row r="1" spans="2:38" ht="15.75" thickBot="1" x14ac:dyDescent="0.3"/>
    <row r="2" spans="2:38" ht="15.75" thickBot="1" x14ac:dyDescent="0.3">
      <c r="B2" s="171" t="s">
        <v>7</v>
      </c>
      <c r="C2" s="172"/>
      <c r="D2" s="173"/>
      <c r="F2" s="178" t="s">
        <v>33</v>
      </c>
      <c r="G2" s="179"/>
      <c r="H2" s="179"/>
      <c r="I2" s="179"/>
      <c r="J2" s="179"/>
      <c r="K2" s="179"/>
      <c r="L2" s="179"/>
      <c r="M2" s="179"/>
      <c r="N2" s="179"/>
      <c r="O2" s="179"/>
      <c r="P2" s="179"/>
      <c r="Q2" s="179"/>
      <c r="R2" s="179"/>
      <c r="S2" s="179"/>
      <c r="T2" s="180"/>
      <c r="W2" s="1" t="s">
        <v>25</v>
      </c>
      <c r="X2" s="1">
        <v>2021</v>
      </c>
      <c r="Y2" s="1">
        <v>2022</v>
      </c>
      <c r="Z2" s="1">
        <v>2023</v>
      </c>
      <c r="AA2" s="1">
        <v>2024</v>
      </c>
      <c r="AB2" s="1">
        <v>2025</v>
      </c>
      <c r="AC2" s="1">
        <v>2026</v>
      </c>
      <c r="AD2" s="1">
        <v>2027</v>
      </c>
      <c r="AE2" s="1">
        <v>2028</v>
      </c>
      <c r="AF2" s="1">
        <v>2029</v>
      </c>
      <c r="AG2" s="1">
        <v>2030</v>
      </c>
      <c r="AH2" s="1">
        <v>2031</v>
      </c>
      <c r="AI2" s="1">
        <v>2032</v>
      </c>
      <c r="AJ2" s="1">
        <v>2033</v>
      </c>
      <c r="AK2" s="1">
        <v>2034</v>
      </c>
      <c r="AL2" s="1">
        <v>2035</v>
      </c>
    </row>
    <row r="3" spans="2:38" x14ac:dyDescent="0.25">
      <c r="B3" s="98"/>
      <c r="C3" s="3" t="s">
        <v>53</v>
      </c>
      <c r="D3" s="36">
        <v>3.5</v>
      </c>
      <c r="F3" s="93"/>
      <c r="G3" s="94"/>
      <c r="H3" s="174" t="s">
        <v>69</v>
      </c>
      <c r="I3" s="175"/>
      <c r="J3" s="175"/>
      <c r="K3" s="176" t="s">
        <v>70</v>
      </c>
      <c r="L3" s="177"/>
      <c r="M3" s="177"/>
      <c r="N3" s="177"/>
      <c r="O3" s="177"/>
      <c r="P3" s="171" t="s">
        <v>73</v>
      </c>
      <c r="Q3" s="172"/>
      <c r="R3" s="172"/>
      <c r="S3" s="172"/>
      <c r="T3" s="173"/>
      <c r="W3" s="31" t="s">
        <v>62</v>
      </c>
      <c r="X3" s="31"/>
      <c r="Y3" s="31"/>
      <c r="Z3" s="31"/>
      <c r="AA3" s="31"/>
      <c r="AB3" s="31"/>
      <c r="AC3" s="31"/>
      <c r="AD3" s="31"/>
      <c r="AE3" s="31"/>
      <c r="AF3" s="34" t="s">
        <v>44</v>
      </c>
      <c r="AG3" s="34"/>
      <c r="AH3" s="34"/>
      <c r="AI3" s="34"/>
      <c r="AJ3" s="34"/>
      <c r="AK3" s="34"/>
      <c r="AL3" s="34"/>
    </row>
    <row r="4" spans="2:38" ht="90.75" thickBot="1" x14ac:dyDescent="0.3">
      <c r="B4" s="99"/>
      <c r="C4" s="95" t="s">
        <v>54</v>
      </c>
      <c r="D4" s="185">
        <v>4.0000000000000001E-3</v>
      </c>
      <c r="F4" s="93"/>
      <c r="G4" s="94"/>
      <c r="H4" s="87" t="s">
        <v>67</v>
      </c>
      <c r="I4" s="11" t="s">
        <v>68</v>
      </c>
      <c r="J4" s="105" t="s">
        <v>52</v>
      </c>
      <c r="K4" s="126" t="s">
        <v>65</v>
      </c>
      <c r="L4" s="11" t="s">
        <v>74</v>
      </c>
      <c r="M4" s="108" t="s">
        <v>71</v>
      </c>
      <c r="N4" s="108" t="s">
        <v>72</v>
      </c>
      <c r="O4" s="116" t="s">
        <v>52</v>
      </c>
      <c r="P4" s="126" t="s">
        <v>66</v>
      </c>
      <c r="Q4" s="11" t="s">
        <v>76</v>
      </c>
      <c r="R4" s="11" t="s">
        <v>77</v>
      </c>
      <c r="S4" s="11" t="s">
        <v>78</v>
      </c>
      <c r="T4" s="115" t="s">
        <v>52</v>
      </c>
      <c r="W4" s="1" t="s">
        <v>56</v>
      </c>
      <c r="X4" s="29">
        <f>MAX(0,D4)</f>
        <v>4.0000000000000001E-3</v>
      </c>
      <c r="Y4" s="29">
        <f>MAX(0,D4)</f>
        <v>4.0000000000000001E-3</v>
      </c>
      <c r="Z4" s="29">
        <f>IF($C$7&gt;2030,MAX(0,$D$4*(1-(Z$2-2022)*'Calcul du rythme de sortie'!$C$4)),MAX(0,$D$4*(1-(Z2-2022)/($C$7-2022))))</f>
        <v>3.2000000000000002E-3</v>
      </c>
      <c r="AA4" s="29">
        <f>IF($C$7&gt;2030,MAX(0,$D$4*(1-(AA$2-2022)*'Calcul du rythme de sortie'!$C$4)),MAX(0,$D$4*(1-(AA2-2022)/($C$7-2022))))</f>
        <v>2.3999999999999998E-3</v>
      </c>
      <c r="AB4" s="29">
        <f>IF($C$7&gt;2030,MAX(0,$D$4*(1-(AB$2-2022)*'Calcul du rythme de sortie'!$C$4)),MAX(0,$D$4*(1-(AB2-2022)/($C$7-2022))))</f>
        <v>1.6000000000000001E-3</v>
      </c>
      <c r="AC4" s="29">
        <f>IF($C$7&gt;2030,MAX(0,$D$4*(1-(AC$2-2022)*'Calcul du rythme de sortie'!$C$4)),MAX(0,$D$4*(1-(AC2-2022)/($C$7-2022))))</f>
        <v>7.9999999999999982E-4</v>
      </c>
      <c r="AD4" s="29">
        <f>IF($C$7&gt;2030,MAX(0,$D$4*(1-(AD$2-2022)*'Calcul du rythme de sortie'!$C$4)),MAX(0,$D$4*(1-(AD2-2022)/($C$7-2022))))</f>
        <v>0</v>
      </c>
      <c r="AE4" s="29">
        <f>IF($C$7&gt;2030,MAX(0,$D$4*(1-(AE$2-2022)*'Calcul du rythme de sortie'!$C$4)),MAX(0,$D$4*(1-(AE2-2022)/($C$7-2022))))</f>
        <v>0</v>
      </c>
      <c r="AF4" s="29">
        <f>IF($C$7&gt;2030,MAX(0,$D$4*(1-(AF$2-2022)*'Calcul du rythme de sortie'!$C$4)),MAX(0,$D$4*(1-(AF2-2022)/($C$7-2022))))</f>
        <v>0</v>
      </c>
      <c r="AG4" s="29">
        <f>IF($C$7&gt;2030,MAX(0,$D$4*(1-(AG$2-2022)*'Calcul du rythme de sortie'!$C$4)),MAX(0,$D$4*(1-(AG2-2022)/($C$7-2022))))</f>
        <v>0</v>
      </c>
      <c r="AH4" s="29">
        <f>IF($C$7&gt;2030,MAX(0,$D$4*(1-$D$7-(AH$2-2030)*'Calcul du rythme de sortie'!$D$4)),0)</f>
        <v>0</v>
      </c>
      <c r="AI4" s="29">
        <f>IF($C$7&gt;2030,MAX(0,$D$4*(1-$D$7-(AI$2-2030)*'Calcul du rythme de sortie'!$D$4)),0)</f>
        <v>0</v>
      </c>
      <c r="AJ4" s="29">
        <f>IF($C$7&gt;2030,MAX(0,$D$4*(1-$D$7-(AJ$2-2030)*'Calcul du rythme de sortie'!$D$4)),0)</f>
        <v>0</v>
      </c>
      <c r="AK4" s="29">
        <f>IF($C$7&gt;2030,MAX(0,$D$4*(1-$D$7-(AK$2-2030)*'Calcul du rythme de sortie'!$D$4)),0)</f>
        <v>0</v>
      </c>
      <c r="AL4" s="29">
        <f>IF($C$7&gt;2030,MAX(0,$D$4*(1-$D$7-(AL$2-2030)*'Calcul du rythme de sortie'!$D$4)),0)</f>
        <v>0</v>
      </c>
    </row>
    <row r="5" spans="2:38" ht="30" x14ac:dyDescent="0.25">
      <c r="B5" s="99"/>
      <c r="C5" s="119" t="s">
        <v>26</v>
      </c>
      <c r="D5" s="120">
        <v>1.03</v>
      </c>
      <c r="F5" s="168" t="s">
        <v>34</v>
      </c>
      <c r="G5" s="89" t="s">
        <v>35</v>
      </c>
      <c r="H5" s="91">
        <f>K62</f>
        <v>-3.7141790730000253</v>
      </c>
      <c r="I5" s="104">
        <f>H5/K42</f>
        <v>-0.13161541353383546</v>
      </c>
      <c r="J5" s="32">
        <v>0</v>
      </c>
      <c r="K5" s="111">
        <f>AE4</f>
        <v>0</v>
      </c>
      <c r="L5" s="109">
        <f>AE5</f>
        <v>0</v>
      </c>
      <c r="M5" s="8">
        <f>D62</f>
        <v>0</v>
      </c>
      <c r="N5" s="2">
        <f t="shared" ref="N5:N10" si="0">M5/SUM($L$48:$R$48)</f>
        <v>0</v>
      </c>
      <c r="O5" s="32">
        <v>0</v>
      </c>
      <c r="P5" s="111">
        <f>AL4</f>
        <v>0</v>
      </c>
      <c r="Q5" s="110">
        <f>AL5</f>
        <v>0</v>
      </c>
      <c r="R5" s="117">
        <f>SUM(G62:X62)</f>
        <v>0</v>
      </c>
      <c r="S5" s="2">
        <f t="shared" ref="S5:S10" si="1">R5/SUM($L$48:$X$48)</f>
        <v>0</v>
      </c>
      <c r="T5" s="42">
        <v>0</v>
      </c>
      <c r="W5" s="11" t="s">
        <v>57</v>
      </c>
      <c r="X5" s="29">
        <v>0</v>
      </c>
      <c r="Y5" s="29">
        <f t="shared" ref="Y5:AL5" si="2">($D$3-1)*Y4</f>
        <v>0.01</v>
      </c>
      <c r="Z5" s="29">
        <f t="shared" si="2"/>
        <v>8.0000000000000002E-3</v>
      </c>
      <c r="AA5" s="29">
        <f t="shared" si="2"/>
        <v>5.9999999999999993E-3</v>
      </c>
      <c r="AB5" s="29">
        <f t="shared" si="2"/>
        <v>4.0000000000000001E-3</v>
      </c>
      <c r="AC5" s="29">
        <f t="shared" si="2"/>
        <v>1.9999999999999996E-3</v>
      </c>
      <c r="AD5" s="29">
        <f t="shared" si="2"/>
        <v>0</v>
      </c>
      <c r="AE5" s="29">
        <f t="shared" si="2"/>
        <v>0</v>
      </c>
      <c r="AF5" s="29">
        <f t="shared" si="2"/>
        <v>0</v>
      </c>
      <c r="AG5" s="29">
        <f t="shared" si="2"/>
        <v>0</v>
      </c>
      <c r="AH5" s="29">
        <f t="shared" si="2"/>
        <v>0</v>
      </c>
      <c r="AI5" s="29">
        <f t="shared" si="2"/>
        <v>0</v>
      </c>
      <c r="AJ5" s="29">
        <f t="shared" si="2"/>
        <v>0</v>
      </c>
      <c r="AK5" s="29">
        <f t="shared" si="2"/>
        <v>0</v>
      </c>
      <c r="AL5" s="29">
        <f t="shared" si="2"/>
        <v>0</v>
      </c>
    </row>
    <row r="6" spans="2:38" ht="66.75" customHeight="1" x14ac:dyDescent="0.25">
      <c r="B6" s="99"/>
      <c r="C6" s="97" t="s">
        <v>55</v>
      </c>
      <c r="D6" s="121" t="s">
        <v>75</v>
      </c>
      <c r="E6" s="96"/>
      <c r="F6" s="169"/>
      <c r="G6" s="32" t="s">
        <v>36</v>
      </c>
      <c r="H6" s="91">
        <f>K69</f>
        <v>-3.7141790730000253</v>
      </c>
      <c r="I6" s="104">
        <f>H6/K42</f>
        <v>-0.13161541353383546</v>
      </c>
      <c r="J6" s="32">
        <v>0</v>
      </c>
      <c r="K6" s="111">
        <f>AE7</f>
        <v>1.9000000000000004E-3</v>
      </c>
      <c r="L6" s="109">
        <f>AE8</f>
        <v>4.7500000000000007E-3</v>
      </c>
      <c r="M6" s="8">
        <f>D69</f>
        <v>-2.4219852224829879</v>
      </c>
      <c r="N6" s="2">
        <f t="shared" si="0"/>
        <v>-1.7634704470728586E-2</v>
      </c>
      <c r="O6" s="32">
        <v>0</v>
      </c>
      <c r="P6" s="111">
        <f>AL7</f>
        <v>0</v>
      </c>
      <c r="Q6" s="110">
        <f>AL8</f>
        <v>0</v>
      </c>
      <c r="R6" s="8">
        <f>SUM(G69:X69)</f>
        <v>0</v>
      </c>
      <c r="S6" s="2">
        <f t="shared" si="1"/>
        <v>0</v>
      </c>
      <c r="T6" s="42">
        <v>0</v>
      </c>
      <c r="W6" s="31" t="s">
        <v>63</v>
      </c>
      <c r="X6" s="135"/>
      <c r="Y6" s="135"/>
      <c r="Z6" s="135"/>
      <c r="AA6" s="135"/>
      <c r="AB6" s="135"/>
      <c r="AC6" s="135"/>
      <c r="AD6" s="135"/>
      <c r="AE6" s="135"/>
      <c r="AF6" s="136" t="s">
        <v>45</v>
      </c>
      <c r="AG6" s="136"/>
      <c r="AH6" s="136"/>
      <c r="AI6" s="136"/>
      <c r="AJ6" s="136"/>
      <c r="AK6" s="136"/>
      <c r="AL6" s="136"/>
    </row>
    <row r="7" spans="2:38" ht="39" customHeight="1" thickBot="1" x14ac:dyDescent="0.3">
      <c r="B7" s="60" t="s">
        <v>84</v>
      </c>
      <c r="C7" s="6">
        <v>2027</v>
      </c>
      <c r="D7" s="123">
        <v>0.2</v>
      </c>
      <c r="F7" s="170"/>
      <c r="G7" s="90" t="s">
        <v>37</v>
      </c>
      <c r="H7" s="91">
        <f>K76</f>
        <v>-3.7141790730000253</v>
      </c>
      <c r="I7" s="104">
        <f>H7/K$42</f>
        <v>-0.13161541353383546</v>
      </c>
      <c r="J7" s="32">
        <v>0</v>
      </c>
      <c r="K7" s="111">
        <f>AE10</f>
        <v>3.3999999999999998E-3</v>
      </c>
      <c r="L7" s="109">
        <f>AE11</f>
        <v>8.4999999999999989E-3</v>
      </c>
      <c r="M7" s="8">
        <f>D76</f>
        <v>-3.7675325683069332</v>
      </c>
      <c r="N7" s="2">
        <f t="shared" si="0"/>
        <v>-2.7431762510022703E-2</v>
      </c>
      <c r="O7" s="32">
        <v>0</v>
      </c>
      <c r="P7" s="111">
        <f>AL10</f>
        <v>0</v>
      </c>
      <c r="Q7" s="110">
        <f>AL11</f>
        <v>0</v>
      </c>
      <c r="R7" s="8">
        <f>SUM(G76:X76)</f>
        <v>0</v>
      </c>
      <c r="S7" s="2">
        <f t="shared" si="1"/>
        <v>0</v>
      </c>
      <c r="T7" s="42">
        <v>0</v>
      </c>
      <c r="W7" s="1" t="s">
        <v>56</v>
      </c>
      <c r="X7" s="29">
        <f>MAX(0,D4)</f>
        <v>4.0000000000000001E-3</v>
      </c>
      <c r="Y7" s="29">
        <f>MAX(0,D4)</f>
        <v>4.0000000000000001E-3</v>
      </c>
      <c r="Z7" s="29">
        <f>IF($C$8&gt;2030,MAX(0,$D$4*(1-(Z$2-2022)*'Calcul du rythme de sortie'!$C$5)),MAX(0,$D$4*(1-(Z$2-2022)/($C$8-2022))))</f>
        <v>3.65E-3</v>
      </c>
      <c r="AA7" s="29">
        <f>IF($C$8&gt;2030,MAX(0,$D$4*(1-(AA2-2022)*'Calcul du rythme de sortie'!$C$5)),MAX(0,$D$4*(1-(AA2-2022)/($C$8-2022))))</f>
        <v>3.3E-3</v>
      </c>
      <c r="AB7" s="29">
        <f>IF($C$8&gt;2030,MAX(0,$D$4*(1-(AB2-2022)*'Calcul du rythme de sortie'!$C$5)),MAX(0,$D$4*(1-(AB2-2022)/($C$8-2022))))</f>
        <v>2.9500000000000004E-3</v>
      </c>
      <c r="AC7" s="29">
        <f>IF($C$8&gt;2030,MAX(0,$D$4*(1-(AC2-2022)*'Calcul du rythme de sortie'!$C$5)),MAX(0,$D$4*(1-(AC2-2022)/($C$8-2022))))</f>
        <v>2.6000000000000003E-3</v>
      </c>
      <c r="AD7" s="29">
        <f>IF($C$8&gt;2030,MAX(0,$D$4*(1-(AD2-2022)*'Calcul du rythme de sortie'!$C$5)),MAX(0,$D$4*(1-(AD2-2022)/($C$8-2022))))</f>
        <v>2.2500000000000003E-3</v>
      </c>
      <c r="AE7" s="29">
        <f>IF($C$8&gt;2030,MAX(0,$D$4*(1-(AE2-2022)*'Calcul du rythme de sortie'!$C$5)),MAX(0,$D$4*(1-(AE2-2022)/($C$8-2022))))</f>
        <v>1.9000000000000004E-3</v>
      </c>
      <c r="AF7" s="29">
        <f>IF($C$8&gt;2030,MAX(0,$D$4*(1-(AF2-2022)*'Calcul du rythme de sortie'!$C$5)),MAX(0,$D$4*(1-(AF2-2022)/($C$8-2022))))</f>
        <v>1.5500000000000004E-3</v>
      </c>
      <c r="AG7" s="29">
        <f>IF($C$8&gt;2030,MAX(0,$D$4*(1-(AG2-2022)*'Calcul du rythme de sortie'!$C$5)),MAX(0,$D$4*(1-(AG2-2022)/($C$8-2022))))</f>
        <v>1.2000000000000001E-3</v>
      </c>
      <c r="AH7" s="29">
        <f>IF($C$8&gt;2030,MAX(0,$D$4*(1-$D$8-(AH2-2030)*'Calcul du rythme de sortie'!$D$5)),0)</f>
        <v>9.6000000000000024E-4</v>
      </c>
      <c r="AI7" s="29">
        <f>IF($C$8&gt;2030,MAX(0,$D$4*(1-$D$8-(AI2-2030)*'Calcul du rythme de sortie'!$D$5)),0)</f>
        <v>7.2000000000000005E-4</v>
      </c>
      <c r="AJ7" s="29">
        <f>IF($C$8&gt;2030,MAX(0,$D$4*(1-$D$8-(AJ2-2030)*'Calcul du rythme de sortie'!$D$5)),0)</f>
        <v>4.8000000000000001E-4</v>
      </c>
      <c r="AK7" s="29">
        <f>IF($C$8&gt;2030,MAX(0,$D$4*(1-$D$8-(AK2-2030)*'Calcul du rythme de sortie'!$D$5)),0)</f>
        <v>2.4000000000000001E-4</v>
      </c>
      <c r="AL7" s="29">
        <f>IF($C$8&gt;2030,MAX(0,$D$4*(1-$D$8-(AL2-2030)*'Calcul du rythme de sortie'!$D$5)),0)</f>
        <v>0</v>
      </c>
    </row>
    <row r="8" spans="2:38" ht="19.5" customHeight="1" x14ac:dyDescent="0.25">
      <c r="B8" s="84" t="s">
        <v>35</v>
      </c>
      <c r="C8" s="124">
        <v>2035</v>
      </c>
      <c r="D8" s="125">
        <v>0.7</v>
      </c>
      <c r="F8" s="168" t="s">
        <v>38</v>
      </c>
      <c r="G8" s="89" t="s">
        <v>35</v>
      </c>
      <c r="H8" s="63">
        <f>K90</f>
        <v>0</v>
      </c>
      <c r="I8" s="29">
        <f t="shared" ref="I8:I10" si="3">H8/K$42</f>
        <v>0</v>
      </c>
      <c r="J8" s="106">
        <f>L86</f>
        <v>-9.9009900990099878E-3</v>
      </c>
      <c r="K8" s="111">
        <f>AE4</f>
        <v>0</v>
      </c>
      <c r="L8" s="109">
        <f>AE5</f>
        <v>0</v>
      </c>
      <c r="M8" s="8">
        <f>D90</f>
        <v>-0.90115125738438451</v>
      </c>
      <c r="N8" s="2">
        <f t="shared" si="0"/>
        <v>-6.5613679059145103E-3</v>
      </c>
      <c r="O8" s="106">
        <f>R86</f>
        <v>0</v>
      </c>
      <c r="P8" s="111">
        <f>AL4</f>
        <v>0</v>
      </c>
      <c r="Q8" s="110">
        <f>AL5</f>
        <v>0</v>
      </c>
      <c r="R8" s="8">
        <f>SUM(G90:X90)</f>
        <v>-0.90115125738438451</v>
      </c>
      <c r="S8" s="2">
        <f t="shared" si="1"/>
        <v>-3.2191642985434283E-3</v>
      </c>
      <c r="T8" s="102">
        <f>X86</f>
        <v>0</v>
      </c>
      <c r="W8" s="11" t="s">
        <v>57</v>
      </c>
      <c r="X8" s="29">
        <v>0</v>
      </c>
      <c r="Y8" s="29">
        <f t="shared" ref="Y8:AL8" si="4">($D$3-1)*Y7</f>
        <v>0.01</v>
      </c>
      <c r="Z8" s="29">
        <f t="shared" si="4"/>
        <v>9.1249999999999994E-3</v>
      </c>
      <c r="AA8" s="29">
        <f t="shared" si="4"/>
        <v>8.2500000000000004E-3</v>
      </c>
      <c r="AB8" s="29">
        <f t="shared" si="4"/>
        <v>7.3750000000000013E-3</v>
      </c>
      <c r="AC8" s="29">
        <f t="shared" si="4"/>
        <v>6.5000000000000006E-3</v>
      </c>
      <c r="AD8" s="29">
        <f t="shared" si="4"/>
        <v>5.6250000000000007E-3</v>
      </c>
      <c r="AE8" s="29">
        <f t="shared" si="4"/>
        <v>4.7500000000000007E-3</v>
      </c>
      <c r="AF8" s="29">
        <f t="shared" si="4"/>
        <v>3.8750000000000008E-3</v>
      </c>
      <c r="AG8" s="29">
        <f t="shared" si="4"/>
        <v>3.0000000000000001E-3</v>
      </c>
      <c r="AH8" s="29">
        <f t="shared" si="4"/>
        <v>2.4000000000000007E-3</v>
      </c>
      <c r="AI8" s="29">
        <f t="shared" si="4"/>
        <v>1.8000000000000002E-3</v>
      </c>
      <c r="AJ8" s="29">
        <f t="shared" si="4"/>
        <v>1.2000000000000001E-3</v>
      </c>
      <c r="AK8" s="29">
        <f t="shared" si="4"/>
        <v>6.0000000000000006E-4</v>
      </c>
      <c r="AL8" s="29">
        <f t="shared" si="4"/>
        <v>0</v>
      </c>
    </row>
    <row r="9" spans="2:38" ht="15.75" thickBot="1" x14ac:dyDescent="0.3">
      <c r="B9" s="85" t="s">
        <v>79</v>
      </c>
      <c r="C9" s="122">
        <v>2035</v>
      </c>
      <c r="D9" s="127">
        <v>0.2</v>
      </c>
      <c r="F9" s="169"/>
      <c r="G9" s="32" t="s">
        <v>36</v>
      </c>
      <c r="H9" s="63">
        <f>K100</f>
        <v>0</v>
      </c>
      <c r="I9" s="29">
        <f t="shared" si="3"/>
        <v>0</v>
      </c>
      <c r="J9" s="106">
        <f>L96</f>
        <v>-9.9009900990099878E-3</v>
      </c>
      <c r="K9" s="111">
        <f>AE7</f>
        <v>1.9000000000000004E-3</v>
      </c>
      <c r="L9" s="109">
        <f>AE8</f>
        <v>4.7500000000000007E-3</v>
      </c>
      <c r="M9" s="8">
        <f>D100</f>
        <v>-1.2546276073937221</v>
      </c>
      <c r="N9" s="2">
        <f t="shared" si="0"/>
        <v>-9.1350627872631412E-3</v>
      </c>
      <c r="O9" s="106">
        <f>R96</f>
        <v>-4.727544165215254E-3</v>
      </c>
      <c r="P9" s="111">
        <f>AL7</f>
        <v>0</v>
      </c>
      <c r="Q9" s="110">
        <f>AL8</f>
        <v>0</v>
      </c>
      <c r="R9" s="8">
        <f>SUM(G100:X100)</f>
        <v>-2.0893714884339118</v>
      </c>
      <c r="S9" s="2">
        <f t="shared" si="1"/>
        <v>-7.4638192499264485E-3</v>
      </c>
      <c r="T9" s="102">
        <f>X96</f>
        <v>-5.9964021587040372E-4</v>
      </c>
      <c r="W9" s="31" t="s">
        <v>64</v>
      </c>
      <c r="X9" s="135"/>
      <c r="Y9" s="135"/>
      <c r="Z9" s="135"/>
      <c r="AA9" s="135"/>
      <c r="AB9" s="135"/>
      <c r="AC9" s="135"/>
      <c r="AD9" s="135"/>
      <c r="AE9" s="135"/>
      <c r="AF9" s="136" t="s">
        <v>46</v>
      </c>
      <c r="AG9" s="136"/>
      <c r="AH9" s="136"/>
      <c r="AI9" s="136"/>
      <c r="AJ9" s="136"/>
      <c r="AK9" s="136"/>
      <c r="AL9" s="136"/>
    </row>
    <row r="10" spans="2:38" ht="15.75" customHeight="1" thickBot="1" x14ac:dyDescent="0.3">
      <c r="B10" s="128" t="s">
        <v>80</v>
      </c>
      <c r="C10">
        <v>2040</v>
      </c>
      <c r="D10" s="83">
        <v>0.2</v>
      </c>
      <c r="E10" s="27"/>
      <c r="F10" s="170"/>
      <c r="G10" s="90" t="s">
        <v>37</v>
      </c>
      <c r="H10" s="73">
        <f>K110</f>
        <v>0</v>
      </c>
      <c r="I10" s="92">
        <f t="shared" si="3"/>
        <v>0</v>
      </c>
      <c r="J10" s="107">
        <f>L106</f>
        <v>-9.9009900990099878E-3</v>
      </c>
      <c r="K10" s="112">
        <f>AE10</f>
        <v>3.3999999999999998E-3</v>
      </c>
      <c r="L10" s="113">
        <f>AE11</f>
        <v>8.4999999999999989E-3</v>
      </c>
      <c r="M10" s="114">
        <f>D110</f>
        <v>-1.4499708131159323</v>
      </c>
      <c r="N10" s="88">
        <f t="shared" si="0"/>
        <v>-1.0557375223894909E-2</v>
      </c>
      <c r="O10" s="107">
        <f>R106</f>
        <v>-8.4283589489340376E-3</v>
      </c>
      <c r="P10" s="112">
        <f>AL10</f>
        <v>0</v>
      </c>
      <c r="Q10" s="118">
        <f>AL11</f>
        <v>0</v>
      </c>
      <c r="R10" s="114">
        <f>SUM(G110:X110)</f>
        <v>-3.2418400274257735</v>
      </c>
      <c r="S10" s="88">
        <f t="shared" si="1"/>
        <v>-1.1580759159310183E-2</v>
      </c>
      <c r="T10" s="103">
        <f>X106</f>
        <v>-1.5974440894569164E-3</v>
      </c>
      <c r="W10" s="1" t="s">
        <v>56</v>
      </c>
      <c r="X10" s="29">
        <f>MAX(0,D4)</f>
        <v>4.0000000000000001E-3</v>
      </c>
      <c r="Y10" s="29">
        <f>$D$4</f>
        <v>4.0000000000000001E-3</v>
      </c>
      <c r="Z10" s="29">
        <f>IF($C$9&gt;2030,MAX(0,$D$4*(1-(Z$2-2022)*'Calcul du rythme de sortie'!$C$6)),MAX(0,$D$4*(1-(Z$2-2022)/($C$9-2022))))</f>
        <v>3.8999999999999998E-3</v>
      </c>
      <c r="AA10" s="29">
        <f>IF($C$9&gt;2030,MAX(0,$D$4*(1-(AA$2-2022)*'Calcul du rythme de sortie'!$C$6)),MAX(0,$D$4*(1-(AA$2-2022)/($C$9-2022))))</f>
        <v>3.8E-3</v>
      </c>
      <c r="AB10" s="29">
        <f>IF($C$9&gt;2030,MAX(0,$D$4*(1-(AB$2-2022)*'Calcul du rythme de sortie'!$C$6)),MAX(0,$D$4*(1-(AB$2-2022)/($C$9-2022))))</f>
        <v>3.7000000000000002E-3</v>
      </c>
      <c r="AC10" s="29">
        <f>IF($C$9&gt;2030,MAX(0,$D$4*(1-(AC$2-2022)*'Calcul du rythme de sortie'!$C$6)),MAX(0,$D$4*(1-(AC$2-2022)/($C$9-2022))))</f>
        <v>3.6000000000000003E-3</v>
      </c>
      <c r="AD10" s="29">
        <f>IF($C$9&gt;2030,MAX(0,$D$4*(1-(AD$2-2022)*'Calcul du rythme de sortie'!$C$6)),MAX(0,$D$4*(1-(AD$2-2022)/($C$9-2022))))</f>
        <v>3.5000000000000001E-3</v>
      </c>
      <c r="AE10" s="29">
        <f>IF($C$9&gt;2030,MAX(0,$D$4*(1-(AE$2-2022)*'Calcul du rythme de sortie'!$C$6)),MAX(0,$D$4*(1-(AE$2-2022)/($C$9-2022))))</f>
        <v>3.3999999999999998E-3</v>
      </c>
      <c r="AF10" s="29">
        <f>IF($C$9&gt;2030,MAX(0,$D$4*(1-(AF$2-2022)*'Calcul du rythme de sortie'!$C$6)),MAX(0,$D$4*(1-(AF$2-2022)/($C$9-2022))))</f>
        <v>3.3E-3</v>
      </c>
      <c r="AG10" s="29">
        <f>IF($C$9&gt;2030,MAX(0,$D$4*(1-(AG$2-2022)*'Calcul du rythme de sortie'!$C$6)),MAX(0,$D$4*(1-(AG$2-2022)/($C$9-2022))))</f>
        <v>3.2000000000000002E-3</v>
      </c>
      <c r="AH10" s="29">
        <f>IF($C$9&gt;2030,MAX(0,$D$4*(1-$D$9-(AH$2-2030)*'Calcul du rythme de sortie'!$D$6)),0)</f>
        <v>2.5600000000000002E-3</v>
      </c>
      <c r="AI10" s="29">
        <f>IF($C$9&gt;2030,MAX(0,$D$4*(1-$D$9-(AI$2-2030)*'Calcul du rythme de sortie'!$D$6)),0)</f>
        <v>1.9200000000000003E-3</v>
      </c>
      <c r="AJ10" s="29">
        <f>IF($C$9&gt;2030,MAX(0,$D$4*(1-$D$9-(AJ$2-2030)*'Calcul du rythme de sortie'!$D$6)),0)</f>
        <v>1.2800000000000003E-3</v>
      </c>
      <c r="AK10" s="29">
        <f>IF($C$9&gt;2030,MAX(0,$D$4*(1-$D$9-(AK$2-2030)*'Calcul du rythme de sortie'!$D$6)),0)</f>
        <v>6.4000000000000016E-4</v>
      </c>
      <c r="AL10" s="29">
        <f>IF($C$9&gt;2030,MAX(0,$D$4*(1-$D$9-(AL$2-2030)*'Calcul du rythme de sortie'!$D$6)),0)</f>
        <v>0</v>
      </c>
    </row>
    <row r="11" spans="2:38" ht="15.75" customHeight="1" x14ac:dyDescent="0.25">
      <c r="B11" s="128" t="s">
        <v>81</v>
      </c>
      <c r="C11">
        <v>2060</v>
      </c>
      <c r="D11" s="83">
        <v>0.1</v>
      </c>
      <c r="W11" s="11" t="s">
        <v>57</v>
      </c>
      <c r="X11" s="29">
        <f t="shared" ref="X11:AL11" si="5">($D$3-1)*X10</f>
        <v>0.01</v>
      </c>
      <c r="Y11" s="29">
        <f t="shared" si="5"/>
        <v>0.01</v>
      </c>
      <c r="Z11" s="29">
        <f t="shared" si="5"/>
        <v>9.75E-3</v>
      </c>
      <c r="AA11" s="29">
        <f t="shared" si="5"/>
        <v>9.4999999999999998E-3</v>
      </c>
      <c r="AB11" s="29">
        <f t="shared" si="5"/>
        <v>9.2500000000000013E-3</v>
      </c>
      <c r="AC11" s="29">
        <f t="shared" si="5"/>
        <v>9.0000000000000011E-3</v>
      </c>
      <c r="AD11" s="29">
        <f t="shared" si="5"/>
        <v>8.7500000000000008E-3</v>
      </c>
      <c r="AE11" s="29">
        <f t="shared" si="5"/>
        <v>8.4999999999999989E-3</v>
      </c>
      <c r="AF11" s="29">
        <f t="shared" si="5"/>
        <v>8.2500000000000004E-3</v>
      </c>
      <c r="AG11" s="29">
        <f t="shared" si="5"/>
        <v>8.0000000000000002E-3</v>
      </c>
      <c r="AH11" s="29">
        <f t="shared" si="5"/>
        <v>6.4000000000000003E-3</v>
      </c>
      <c r="AI11" s="29">
        <f t="shared" si="5"/>
        <v>4.8000000000000004E-3</v>
      </c>
      <c r="AJ11" s="29">
        <f t="shared" si="5"/>
        <v>3.2000000000000006E-3</v>
      </c>
      <c r="AK11" s="29">
        <f t="shared" si="5"/>
        <v>1.6000000000000003E-3</v>
      </c>
      <c r="AL11" s="29">
        <f t="shared" si="5"/>
        <v>0</v>
      </c>
    </row>
    <row r="12" spans="2:38" x14ac:dyDescent="0.25">
      <c r="D12" s="83"/>
      <c r="W12" s="31" t="s">
        <v>82</v>
      </c>
      <c r="X12" s="135"/>
      <c r="Y12" s="135"/>
      <c r="Z12" s="135"/>
      <c r="AA12" s="135"/>
      <c r="AB12" s="135"/>
      <c r="AC12" s="135"/>
      <c r="AD12" s="135"/>
      <c r="AE12" s="135"/>
      <c r="AF12" s="136" t="s">
        <v>46</v>
      </c>
      <c r="AG12" s="136"/>
      <c r="AH12" s="136"/>
      <c r="AI12" s="136"/>
      <c r="AJ12" s="136"/>
      <c r="AK12" s="136"/>
      <c r="AL12" s="136"/>
    </row>
    <row r="13" spans="2:38" x14ac:dyDescent="0.25">
      <c r="D13" s="83"/>
      <c r="W13" s="1" t="s">
        <v>56</v>
      </c>
      <c r="X13" s="29">
        <f t="shared" ref="X13:Y13" si="6">$D$4</f>
        <v>4.0000000000000001E-3</v>
      </c>
      <c r="Y13" s="29">
        <f t="shared" si="6"/>
        <v>4.0000000000000001E-3</v>
      </c>
      <c r="Z13" s="29">
        <f>IF($C$10&gt;2030,MAX(0,$D$4*(1-(Z$2-2022)*'Calcul du rythme de sortie'!$C$7)),MAX(0,$D$4*(1-(Z$2-2022)/($C$10-2022))))</f>
        <v>3.8999999999999998E-3</v>
      </c>
      <c r="AA13" s="29">
        <f>IF($C$10&gt;2030,MAX(0,$D$4*(1-(AA$2-2022)*'Calcul du rythme de sortie'!$C$7)),MAX(0,$D$4*(1-(AA$2-2022)/($C$10-2022))))</f>
        <v>3.8E-3</v>
      </c>
      <c r="AB13" s="29">
        <f>IF($C$10&gt;2030,MAX(0,$D$4*(1-(AB$2-2022)*'Calcul du rythme de sortie'!$C$7)),MAX(0,$D$4*(1-(AB$2-2022)/($C$10-2022))))</f>
        <v>3.7000000000000002E-3</v>
      </c>
      <c r="AC13" s="29">
        <f>IF($C$10&gt;2030,MAX(0,$D$4*(1-(AC$2-2022)*'Calcul du rythme de sortie'!$C$7)),MAX(0,$D$4*(1-(AC$2-2022)/($C$10-2022))))</f>
        <v>3.6000000000000003E-3</v>
      </c>
      <c r="AD13" s="29">
        <f>IF($C$10&gt;2030,MAX(0,$D$4*(1-(AD$2-2022)*'Calcul du rythme de sortie'!$C$7)),MAX(0,$D$4*(1-(AD$2-2022)/($C$10-2022))))</f>
        <v>3.5000000000000001E-3</v>
      </c>
      <c r="AE13" s="29">
        <f>IF($C$10&gt;2030,MAX(0,$D$4*(1-(AE$2-2022)*'Calcul du rythme de sortie'!$C$7)),MAX(0,$D$4*(1-(AE$2-2022)/($C$10-2022))))</f>
        <v>3.3999999999999998E-3</v>
      </c>
      <c r="AF13" s="29">
        <f>IF($C$10&gt;2030,MAX(0,$D$4*(1-(AF$2-2022)*'Calcul du rythme de sortie'!$C$7)),MAX(0,$D$4*(1-(AF$2-2022)/($C$10-2022))))</f>
        <v>3.3E-3</v>
      </c>
      <c r="AG13" s="29">
        <f>IF($C$10&gt;2030,MAX(0,$D$4*(1-(AG$2-2022)*'Calcul du rythme de sortie'!$C$7)),MAX(0,$D$4*(1-(AG$2-2022)/($C$10-2022))))</f>
        <v>3.2000000000000002E-3</v>
      </c>
      <c r="AH13" s="29">
        <f>IF($C$10&gt;2030,MAX(0,$D$4*(1-$D$10-(AH$2-2030)*'Calcul du rythme de sortie'!$D$7)),0)</f>
        <v>2.8800000000000002E-3</v>
      </c>
      <c r="AI13" s="29">
        <f>IF($C$10&gt;2030,MAX(0,$D$4*(1-$D$10-(AI$2-2030)*'Calcul du rythme de sortie'!$D$7)),0)</f>
        <v>2.5600000000000002E-3</v>
      </c>
      <c r="AJ13" s="29">
        <f>IF($C$10&gt;2030,MAX(0,$D$4*(1-$D$10-(AJ$2-2030)*'Calcul du rythme de sortie'!$D$7)),0)</f>
        <v>2.2400000000000002E-3</v>
      </c>
      <c r="AK13" s="29">
        <f>IF($C$10&gt;2030,MAX(0,$D$4*(1-$D$10-(AK$2-2030)*'Calcul du rythme de sortie'!$D$7)),0)</f>
        <v>1.9200000000000003E-3</v>
      </c>
      <c r="AL13" s="29">
        <f>IF($C$10&gt;2030,MAX(0,$D$4*(1-$D$10-(AL$2-2030)*'Calcul du rythme de sortie'!$D$7)),0)</f>
        <v>1.6000000000000001E-3</v>
      </c>
    </row>
    <row r="14" spans="2:38" ht="30" x14ac:dyDescent="0.25">
      <c r="D14" s="83"/>
      <c r="W14" s="11" t="s">
        <v>57</v>
      </c>
      <c r="X14" s="29">
        <f t="shared" ref="X14:AL14" si="7">($D$3-1)*X13</f>
        <v>0.01</v>
      </c>
      <c r="Y14" s="29">
        <f t="shared" si="7"/>
        <v>0.01</v>
      </c>
      <c r="Z14" s="29">
        <f t="shared" si="7"/>
        <v>9.75E-3</v>
      </c>
      <c r="AA14" s="29">
        <f t="shared" si="7"/>
        <v>9.4999999999999998E-3</v>
      </c>
      <c r="AB14" s="29">
        <f t="shared" si="7"/>
        <v>9.2500000000000013E-3</v>
      </c>
      <c r="AC14" s="29">
        <f t="shared" si="7"/>
        <v>9.0000000000000011E-3</v>
      </c>
      <c r="AD14" s="29">
        <f t="shared" si="7"/>
        <v>8.7500000000000008E-3</v>
      </c>
      <c r="AE14" s="29">
        <f t="shared" si="7"/>
        <v>8.4999999999999989E-3</v>
      </c>
      <c r="AF14" s="29">
        <f t="shared" si="7"/>
        <v>8.2500000000000004E-3</v>
      </c>
      <c r="AG14" s="29">
        <f t="shared" si="7"/>
        <v>8.0000000000000002E-3</v>
      </c>
      <c r="AH14" s="29">
        <f t="shared" si="7"/>
        <v>7.2000000000000007E-3</v>
      </c>
      <c r="AI14" s="29">
        <f t="shared" si="7"/>
        <v>6.4000000000000003E-3</v>
      </c>
      <c r="AJ14" s="29">
        <f t="shared" si="7"/>
        <v>5.6000000000000008E-3</v>
      </c>
      <c r="AK14" s="29">
        <f t="shared" si="7"/>
        <v>4.8000000000000004E-3</v>
      </c>
      <c r="AL14" s="29">
        <f t="shared" si="7"/>
        <v>4.0000000000000001E-3</v>
      </c>
    </row>
    <row r="15" spans="2:38" x14ac:dyDescent="0.25">
      <c r="D15" s="83"/>
      <c r="S15" s="11"/>
      <c r="W15" s="31" t="s">
        <v>83</v>
      </c>
      <c r="X15" s="135"/>
      <c r="Y15" s="135"/>
      <c r="Z15" s="135"/>
      <c r="AA15" s="135"/>
      <c r="AB15" s="135"/>
      <c r="AC15" s="135"/>
      <c r="AD15" s="135"/>
      <c r="AE15" s="135"/>
      <c r="AF15" s="136" t="s">
        <v>46</v>
      </c>
      <c r="AG15" s="136"/>
      <c r="AH15" s="136"/>
      <c r="AI15" s="136"/>
      <c r="AJ15" s="136"/>
      <c r="AK15" s="136"/>
      <c r="AL15" s="136"/>
    </row>
    <row r="16" spans="2:38" x14ac:dyDescent="0.25">
      <c r="D16" s="83"/>
      <c r="S16" s="1"/>
      <c r="W16" s="1" t="s">
        <v>56</v>
      </c>
      <c r="X16" s="29">
        <f t="shared" ref="X16:Y16" si="8">$D$4</f>
        <v>4.0000000000000001E-3</v>
      </c>
      <c r="Y16" s="29">
        <f t="shared" si="8"/>
        <v>4.0000000000000001E-3</v>
      </c>
      <c r="Z16" s="29">
        <f>IF($C$11&gt;2030,MAX(0,$D$4*(1-(Z$2-2022)*'Calcul du rythme de sortie'!$C$8)),MAX(0,$D$4*(1-(Z$2-2022)/($C$10-2022))))</f>
        <v>3.9500000000000004E-3</v>
      </c>
      <c r="AA16" s="29">
        <f>IF($C$11&gt;2030,MAX(0,$D$4*(1-(AA$2-2022)*'Calcul du rythme de sortie'!$C$8)),MAX(0,$D$4*(1-(AA$2-2022)/($C$10-2022))))</f>
        <v>3.8999999999999998E-3</v>
      </c>
      <c r="AB16" s="29">
        <f>IF($C$11&gt;2030,MAX(0,$D$4*(1-(AB$2-2022)*'Calcul du rythme de sortie'!$C$8)),MAX(0,$D$4*(1-(AB$2-2022)/($C$10-2022))))</f>
        <v>3.8500000000000001E-3</v>
      </c>
      <c r="AC16" s="29">
        <f>IF($C$11&gt;2030,MAX(0,$D$4*(1-(AC$2-2022)*'Calcul du rythme de sortie'!$C$8)),MAX(0,$D$4*(1-(AC$2-2022)/($C$10-2022))))</f>
        <v>3.8E-3</v>
      </c>
      <c r="AD16" s="29">
        <f>IF($C$11&gt;2030,MAX(0,$D$4*(1-(AD$2-2022)*'Calcul du rythme de sortie'!$C$8)),MAX(0,$D$4*(1-(AD$2-2022)/($C$10-2022))))</f>
        <v>3.7499999999999999E-3</v>
      </c>
      <c r="AE16" s="29">
        <f>IF($C$11&gt;2030,MAX(0,$D$4*(1-(AE$2-2022)*'Calcul du rythme de sortie'!$C$8)),MAX(0,$D$4*(1-(AE$2-2022)/($C$10-2022))))</f>
        <v>3.7000000000000002E-3</v>
      </c>
      <c r="AF16" s="29">
        <f>IF($C$11&gt;2030,MAX(0,$D$4*(1-(AF$2-2022)*'Calcul du rythme de sortie'!$C$8)),MAX(0,$D$4*(1-(AF$2-2022)/($C$10-2022))))</f>
        <v>3.65E-3</v>
      </c>
      <c r="AG16" s="29">
        <f>IF($C$11&gt;2030,MAX(0,$D$4*(1-(AG$2-2022)*'Calcul du rythme de sortie'!$C$8)),MAX(0,$D$4*(1-(AG$2-2022)/($C$10-2022))))</f>
        <v>3.6000000000000003E-3</v>
      </c>
      <c r="AH16" s="29">
        <f>IF($C$10&gt;2030,MAX(0,$D$4*(1-$D$11-(AH$2-2030)*'Calcul du rythme de sortie'!$D$8)),0)</f>
        <v>3.48E-3</v>
      </c>
      <c r="AI16" s="29">
        <f>IF($C$10&gt;2030,MAX(0,$D$4*(1-$D$11-(AI$2-2030)*'Calcul du rythme de sortie'!$D$8)),0)</f>
        <v>3.3600000000000001E-3</v>
      </c>
      <c r="AJ16" s="29">
        <f>IF($C$10&gt;2030,MAX(0,$D$4*(1-$D$11-(AJ$2-2030)*'Calcul du rythme de sortie'!$D$8)),0)</f>
        <v>3.2400000000000003E-3</v>
      </c>
      <c r="AK16" s="29">
        <f>IF($C$10&gt;2030,MAX(0,$D$4*(1-$D$11-(AK$2-2030)*'Calcul du rythme de sortie'!$D$8)),0)</f>
        <v>3.1200000000000004E-3</v>
      </c>
      <c r="AL16" s="29">
        <f>IF($C$10&gt;2030,MAX(0,$D$4*(1-$D$11-(AL$2-2030)*'Calcul du rythme de sortie'!$D$8)),0)</f>
        <v>3.0000000000000001E-3</v>
      </c>
    </row>
    <row r="17" spans="4:38" ht="30" x14ac:dyDescent="0.25">
      <c r="D17" s="83"/>
      <c r="S17" s="1"/>
      <c r="W17" s="11" t="s">
        <v>57</v>
      </c>
      <c r="X17" s="29">
        <f t="shared" ref="X17:AL17" si="9">($D$3-1)*X16</f>
        <v>0.01</v>
      </c>
      <c r="Y17" s="29">
        <f t="shared" si="9"/>
        <v>0.01</v>
      </c>
      <c r="Z17" s="29">
        <f t="shared" si="9"/>
        <v>9.8750000000000018E-3</v>
      </c>
      <c r="AA17" s="29">
        <f t="shared" si="9"/>
        <v>9.75E-3</v>
      </c>
      <c r="AB17" s="29">
        <f t="shared" si="9"/>
        <v>9.6249999999999999E-3</v>
      </c>
      <c r="AC17" s="29">
        <f t="shared" si="9"/>
        <v>9.4999999999999998E-3</v>
      </c>
      <c r="AD17" s="29">
        <f t="shared" si="9"/>
        <v>9.3749999999999997E-3</v>
      </c>
      <c r="AE17" s="29">
        <f t="shared" si="9"/>
        <v>9.2500000000000013E-3</v>
      </c>
      <c r="AF17" s="29">
        <f t="shared" si="9"/>
        <v>9.1249999999999994E-3</v>
      </c>
      <c r="AG17" s="29">
        <f t="shared" si="9"/>
        <v>9.0000000000000011E-3</v>
      </c>
      <c r="AH17" s="29">
        <f t="shared" si="9"/>
        <v>8.6999999999999994E-3</v>
      </c>
      <c r="AI17" s="29">
        <f t="shared" si="9"/>
        <v>8.4000000000000012E-3</v>
      </c>
      <c r="AJ17" s="29">
        <f t="shared" si="9"/>
        <v>8.1000000000000013E-3</v>
      </c>
      <c r="AK17" s="29">
        <f t="shared" si="9"/>
        <v>7.8000000000000014E-3</v>
      </c>
      <c r="AL17" s="29">
        <f t="shared" si="9"/>
        <v>7.4999999999999997E-3</v>
      </c>
    </row>
    <row r="18" spans="4:38" x14ac:dyDescent="0.25">
      <c r="D18" s="83"/>
      <c r="S18" s="1"/>
      <c r="Z18" s="30"/>
      <c r="AA18" s="30"/>
      <c r="AB18" s="30"/>
      <c r="AC18" s="30"/>
      <c r="AD18" s="30"/>
      <c r="AE18" s="30"/>
      <c r="AF18" s="30"/>
      <c r="AG18" s="30"/>
      <c r="AH18" s="30"/>
    </row>
    <row r="19" spans="4:38" x14ac:dyDescent="0.25">
      <c r="D19" s="83"/>
      <c r="S19" s="86"/>
      <c r="Z19" s="30"/>
      <c r="AA19" s="30"/>
      <c r="AB19" s="30"/>
      <c r="AC19" s="30"/>
      <c r="AD19" s="30"/>
      <c r="AE19" s="30"/>
      <c r="AF19" s="30"/>
      <c r="AG19" s="30"/>
      <c r="AH19" s="30"/>
    </row>
    <row r="20" spans="4:38" x14ac:dyDescent="0.25">
      <c r="D20" s="83"/>
      <c r="S20" s="86"/>
      <c r="Z20" s="30"/>
      <c r="AA20" s="30"/>
      <c r="AB20" s="30"/>
      <c r="AC20" s="30"/>
      <c r="AD20" s="30"/>
      <c r="AE20" s="30"/>
      <c r="AF20" s="30"/>
      <c r="AG20" s="30"/>
      <c r="AH20" s="30"/>
    </row>
    <row r="21" spans="4:38" x14ac:dyDescent="0.25">
      <c r="D21" s="83"/>
      <c r="S21" s="86"/>
      <c r="Z21" s="30"/>
      <c r="AA21" s="30"/>
      <c r="AB21" s="30"/>
      <c r="AC21" s="30"/>
      <c r="AD21" s="30"/>
      <c r="AE21" s="30"/>
      <c r="AF21" s="30"/>
      <c r="AG21" s="30"/>
      <c r="AH21" s="30"/>
    </row>
    <row r="22" spans="4:38" x14ac:dyDescent="0.25">
      <c r="D22" s="83"/>
      <c r="Z22" s="30"/>
      <c r="AA22" s="30"/>
      <c r="AB22" s="30"/>
      <c r="AC22" s="30"/>
      <c r="AD22" s="30"/>
      <c r="AE22" s="30"/>
      <c r="AF22" s="30"/>
      <c r="AG22" s="30"/>
      <c r="AH22" s="30"/>
    </row>
    <row r="23" spans="4:38" x14ac:dyDescent="0.25">
      <c r="D23" s="83"/>
      <c r="Z23" s="30"/>
      <c r="AA23" s="30"/>
      <c r="AB23" s="30"/>
      <c r="AC23" s="30"/>
      <c r="AD23" s="30"/>
      <c r="AE23" s="30"/>
      <c r="AF23" s="30"/>
      <c r="AG23" s="30"/>
      <c r="AH23" s="30"/>
    </row>
    <row r="24" spans="4:38" x14ac:dyDescent="0.25">
      <c r="D24" s="83"/>
      <c r="Z24" s="30"/>
      <c r="AA24" s="30"/>
      <c r="AB24" s="30"/>
      <c r="AC24" s="30"/>
      <c r="AD24" s="30"/>
      <c r="AE24" s="30"/>
      <c r="AF24" s="30"/>
      <c r="AG24" s="30"/>
      <c r="AH24" s="30"/>
    </row>
    <row r="25" spans="4:38" x14ac:dyDescent="0.25">
      <c r="D25" s="83"/>
      <c r="Z25" s="30"/>
      <c r="AA25" s="30"/>
      <c r="AB25" s="30"/>
      <c r="AC25" s="30"/>
      <c r="AD25" s="30"/>
      <c r="AE25" s="30"/>
      <c r="AF25" s="30"/>
      <c r="AG25" s="30"/>
      <c r="AH25" s="30"/>
    </row>
    <row r="26" spans="4:38" x14ac:dyDescent="0.25">
      <c r="D26" s="83"/>
      <c r="Z26" s="30"/>
      <c r="AA26" s="30"/>
      <c r="AB26" s="30"/>
      <c r="AC26" s="30"/>
      <c r="AD26" s="30"/>
      <c r="AE26" s="30"/>
      <c r="AF26" s="30"/>
      <c r="AG26" s="30"/>
      <c r="AH26" s="30"/>
    </row>
    <row r="27" spans="4:38" x14ac:dyDescent="0.25">
      <c r="D27" s="83"/>
      <c r="Z27" s="30"/>
      <c r="AA27" s="30"/>
      <c r="AB27" s="30"/>
      <c r="AC27" s="30"/>
      <c r="AD27" s="30"/>
      <c r="AE27" s="30"/>
      <c r="AF27" s="30"/>
      <c r="AG27" s="30"/>
      <c r="AH27" s="30"/>
    </row>
    <row r="28" spans="4:38" x14ac:dyDescent="0.25">
      <c r="D28" s="83"/>
      <c r="Z28" s="30"/>
      <c r="AA28" s="30"/>
      <c r="AB28" s="30"/>
      <c r="AC28" s="30"/>
      <c r="AD28" s="30"/>
      <c r="AE28" s="30"/>
      <c r="AF28" s="30"/>
      <c r="AG28" s="30"/>
      <c r="AH28" s="30"/>
    </row>
    <row r="29" spans="4:38" x14ac:dyDescent="0.25">
      <c r="D29" s="83"/>
      <c r="Z29" s="30"/>
      <c r="AA29" s="30"/>
      <c r="AB29" s="30"/>
      <c r="AC29" s="30"/>
      <c r="AD29" s="30"/>
      <c r="AE29" s="30"/>
      <c r="AF29" s="30"/>
      <c r="AG29" s="30"/>
      <c r="AH29" s="30"/>
    </row>
    <row r="30" spans="4:38" x14ac:dyDescent="0.25">
      <c r="D30" s="83"/>
      <c r="Z30" s="30"/>
      <c r="AA30" s="30"/>
      <c r="AB30" s="30"/>
      <c r="AC30" s="30"/>
      <c r="AD30" s="30"/>
      <c r="AE30" s="30"/>
      <c r="AF30" s="30"/>
      <c r="AG30" s="30"/>
      <c r="AH30" s="30"/>
    </row>
    <row r="31" spans="4:38" x14ac:dyDescent="0.25">
      <c r="D31" s="83"/>
      <c r="Z31" s="30"/>
      <c r="AA31" s="30"/>
      <c r="AB31" s="30"/>
      <c r="AC31" s="30"/>
      <c r="AD31" s="30"/>
      <c r="AE31" s="30"/>
      <c r="AF31" s="30"/>
      <c r="AG31" s="30"/>
      <c r="AH31" s="30"/>
    </row>
    <row r="32" spans="4:38" x14ac:dyDescent="0.25">
      <c r="D32" s="83"/>
      <c r="S32" s="28"/>
      <c r="T32" s="30"/>
      <c r="U32" s="30"/>
      <c r="V32" s="30"/>
      <c r="W32" s="30"/>
      <c r="X32" s="30"/>
      <c r="Y32" s="30"/>
      <c r="Z32" s="30"/>
      <c r="AA32" s="30"/>
      <c r="AB32" s="30"/>
      <c r="AC32" s="30"/>
      <c r="AD32" s="30"/>
      <c r="AE32" s="30"/>
      <c r="AF32" s="30"/>
      <c r="AG32" s="30"/>
      <c r="AH32" s="30"/>
    </row>
    <row r="33" spans="2:34" x14ac:dyDescent="0.25">
      <c r="D33" s="83"/>
      <c r="S33" s="28"/>
      <c r="T33" s="30"/>
      <c r="U33" s="30"/>
      <c r="V33" s="30"/>
      <c r="W33" s="30"/>
      <c r="X33" s="30"/>
      <c r="Y33" s="30"/>
      <c r="Z33" s="30"/>
      <c r="AA33" s="30"/>
      <c r="AB33" s="30"/>
      <c r="AC33" s="30"/>
      <c r="AD33" s="30"/>
      <c r="AE33" s="30"/>
      <c r="AF33" s="30"/>
      <c r="AG33" s="30"/>
      <c r="AH33" s="30"/>
    </row>
    <row r="34" spans="2:34" ht="12.75" customHeight="1" x14ac:dyDescent="0.25"/>
    <row r="37" spans="2:34" ht="15.75" thickBot="1" x14ac:dyDescent="0.3">
      <c r="S37" s="27"/>
      <c r="T37" s="27"/>
      <c r="U37" s="27"/>
      <c r="V37" s="27"/>
    </row>
    <row r="38" spans="2:34" x14ac:dyDescent="0.25">
      <c r="B38" s="146" t="s">
        <v>43</v>
      </c>
      <c r="C38" s="149" t="s">
        <v>14</v>
      </c>
      <c r="D38" s="150"/>
      <c r="E38" s="150"/>
      <c r="F38" s="150"/>
      <c r="G38" s="150"/>
      <c r="H38" s="150"/>
      <c r="I38" s="150"/>
      <c r="J38" s="150"/>
      <c r="K38" s="150"/>
      <c r="L38" s="150"/>
      <c r="M38" s="150"/>
      <c r="N38" s="150"/>
      <c r="O38" s="150"/>
      <c r="P38" s="150"/>
      <c r="Q38" s="150"/>
      <c r="R38" s="151"/>
      <c r="S38" s="53"/>
      <c r="T38" s="54"/>
      <c r="U38" s="54"/>
      <c r="V38" s="54"/>
      <c r="W38" s="55"/>
      <c r="X38" s="55"/>
      <c r="Y38" s="56"/>
    </row>
    <row r="39" spans="2:34" x14ac:dyDescent="0.25">
      <c r="B39" s="147"/>
      <c r="C39" s="12" t="s">
        <v>12</v>
      </c>
      <c r="D39" s="76">
        <f>I44/I40</f>
        <v>0.33720238095238092</v>
      </c>
      <c r="E39" s="1"/>
      <c r="F39" s="1">
        <v>2016</v>
      </c>
      <c r="G39" s="1">
        <v>2017</v>
      </c>
      <c r="H39" s="1">
        <v>2018</v>
      </c>
      <c r="I39" s="4">
        <v>2019</v>
      </c>
      <c r="J39" s="1">
        <v>2020</v>
      </c>
      <c r="K39" s="1">
        <v>2021</v>
      </c>
      <c r="L39" s="1">
        <v>2022</v>
      </c>
      <c r="M39" s="1">
        <v>2023</v>
      </c>
      <c r="N39" s="1">
        <v>2024</v>
      </c>
      <c r="O39" s="1">
        <v>2025</v>
      </c>
      <c r="P39" s="1">
        <v>2026</v>
      </c>
      <c r="Q39" s="1">
        <v>2027</v>
      </c>
      <c r="R39" s="42">
        <v>2028</v>
      </c>
      <c r="S39" s="60">
        <v>2029</v>
      </c>
      <c r="T39" s="32">
        <v>2030</v>
      </c>
      <c r="U39" s="1">
        <v>2031</v>
      </c>
      <c r="V39" s="32">
        <v>2032</v>
      </c>
      <c r="W39" s="1">
        <v>2033</v>
      </c>
      <c r="X39" s="32">
        <v>2034</v>
      </c>
      <c r="Y39" s="42">
        <v>2035</v>
      </c>
    </row>
    <row r="40" spans="2:34" x14ac:dyDescent="0.25">
      <c r="B40" s="147"/>
      <c r="C40" s="12" t="s">
        <v>11</v>
      </c>
      <c r="D40" s="6">
        <f>D5</f>
        <v>1.03</v>
      </c>
      <c r="E40" s="1" t="s">
        <v>0</v>
      </c>
      <c r="F40" s="8">
        <f>G40/$D$40</f>
        <v>6405.9916154721168</v>
      </c>
      <c r="G40" s="8">
        <f>H40/$D$40</f>
        <v>6598.1713639362806</v>
      </c>
      <c r="H40" s="8">
        <f>I40/$D$40</f>
        <v>6796.1165048543689</v>
      </c>
      <c r="I40" s="9">
        <v>7000</v>
      </c>
      <c r="J40" s="8">
        <f t="shared" ref="J40:Y40" si="10">I40*$D$40</f>
        <v>7210</v>
      </c>
      <c r="K40" s="8">
        <f t="shared" si="10"/>
        <v>7426.3</v>
      </c>
      <c r="L40" s="8">
        <f t="shared" si="10"/>
        <v>7649.0889999999999</v>
      </c>
      <c r="M40" s="8">
        <f t="shared" si="10"/>
        <v>7878.56167</v>
      </c>
      <c r="N40" s="8">
        <f t="shared" si="10"/>
        <v>8114.9185201</v>
      </c>
      <c r="O40" s="8">
        <f t="shared" si="10"/>
        <v>8358.3660757030011</v>
      </c>
      <c r="P40" s="8">
        <f t="shared" si="10"/>
        <v>8609.1170579740919</v>
      </c>
      <c r="Q40" s="8">
        <f t="shared" si="10"/>
        <v>8867.3905697133141</v>
      </c>
      <c r="R40" s="43">
        <f t="shared" si="10"/>
        <v>9133.4122868047143</v>
      </c>
      <c r="S40" s="72">
        <f t="shared" si="10"/>
        <v>9407.4146554088566</v>
      </c>
      <c r="T40" s="33">
        <f t="shared" si="10"/>
        <v>9689.6370950711225</v>
      </c>
      <c r="U40" s="33">
        <f t="shared" si="10"/>
        <v>9980.3262079232572</v>
      </c>
      <c r="V40" s="33">
        <f t="shared" si="10"/>
        <v>10279.735994160956</v>
      </c>
      <c r="W40" s="33">
        <f t="shared" si="10"/>
        <v>10588.128073985785</v>
      </c>
      <c r="X40" s="33">
        <f t="shared" si="10"/>
        <v>10905.771916205358</v>
      </c>
      <c r="Y40" s="43">
        <f t="shared" si="10"/>
        <v>11232.945073691519</v>
      </c>
    </row>
    <row r="41" spans="2:34" x14ac:dyDescent="0.25">
      <c r="B41" s="147"/>
      <c r="C41" s="12" t="s">
        <v>4</v>
      </c>
      <c r="D41" s="3">
        <v>0.02</v>
      </c>
      <c r="E41" s="1" t="s">
        <v>1</v>
      </c>
      <c r="F41" s="8">
        <f t="shared" ref="F41:Y41" si="11">$D$41*F40</f>
        <v>128.11983230944233</v>
      </c>
      <c r="G41" s="8">
        <f t="shared" si="11"/>
        <v>131.96342727872562</v>
      </c>
      <c r="H41" s="8">
        <f t="shared" si="11"/>
        <v>135.92233009708738</v>
      </c>
      <c r="I41" s="8">
        <f t="shared" si="11"/>
        <v>140</v>
      </c>
      <c r="J41" s="8">
        <f t="shared" si="11"/>
        <v>144.20000000000002</v>
      </c>
      <c r="K41" s="8">
        <f t="shared" si="11"/>
        <v>148.52600000000001</v>
      </c>
      <c r="L41" s="8">
        <f t="shared" si="11"/>
        <v>152.98178000000001</v>
      </c>
      <c r="M41" s="8">
        <f t="shared" si="11"/>
        <v>157.57123340000001</v>
      </c>
      <c r="N41" s="8">
        <f t="shared" si="11"/>
        <v>162.29837040200002</v>
      </c>
      <c r="O41" s="8">
        <f t="shared" si="11"/>
        <v>167.16732151406003</v>
      </c>
      <c r="P41" s="8">
        <f t="shared" si="11"/>
        <v>172.18234115948184</v>
      </c>
      <c r="Q41" s="8">
        <f t="shared" si="11"/>
        <v>177.34781139426627</v>
      </c>
      <c r="R41" s="43">
        <f t="shared" si="11"/>
        <v>182.66824573609429</v>
      </c>
      <c r="S41" s="72">
        <f t="shared" si="11"/>
        <v>188.14829310817714</v>
      </c>
      <c r="T41" s="33">
        <f t="shared" si="11"/>
        <v>193.79274190142246</v>
      </c>
      <c r="U41" s="33">
        <f t="shared" si="11"/>
        <v>199.60652415846516</v>
      </c>
      <c r="V41" s="33">
        <f t="shared" si="11"/>
        <v>205.59471988321911</v>
      </c>
      <c r="W41" s="33">
        <f t="shared" si="11"/>
        <v>211.76256147971571</v>
      </c>
      <c r="X41" s="33">
        <f t="shared" si="11"/>
        <v>218.11543832410717</v>
      </c>
      <c r="Y41" s="43">
        <f t="shared" si="11"/>
        <v>224.65890147383038</v>
      </c>
    </row>
    <row r="42" spans="2:34" x14ac:dyDescent="0.25">
      <c r="B42" s="147"/>
      <c r="C42" s="12" t="s">
        <v>3</v>
      </c>
      <c r="D42" s="3">
        <v>0.19</v>
      </c>
      <c r="E42" s="1" t="s">
        <v>2</v>
      </c>
      <c r="F42" s="8">
        <f t="shared" ref="F42:Y42" si="12">$D$42*F41</f>
        <v>24.342768138794042</v>
      </c>
      <c r="G42" s="8">
        <f t="shared" si="12"/>
        <v>25.073051182957869</v>
      </c>
      <c r="H42" s="8">
        <f t="shared" si="12"/>
        <v>25.825242718446603</v>
      </c>
      <c r="I42" s="8">
        <f t="shared" si="12"/>
        <v>26.6</v>
      </c>
      <c r="J42" s="8">
        <f t="shared" si="12"/>
        <v>27.398000000000003</v>
      </c>
      <c r="K42" s="8">
        <f t="shared" si="12"/>
        <v>28.219940000000001</v>
      </c>
      <c r="L42" s="8">
        <f t="shared" si="12"/>
        <v>29.066538200000004</v>
      </c>
      <c r="M42" s="8">
        <f t="shared" si="12"/>
        <v>29.938534346000001</v>
      </c>
      <c r="N42" s="8">
        <f t="shared" si="12"/>
        <v>30.836690376380005</v>
      </c>
      <c r="O42" s="8">
        <f t="shared" si="12"/>
        <v>31.761791087671408</v>
      </c>
      <c r="P42" s="8">
        <f t="shared" si="12"/>
        <v>32.714644820301551</v>
      </c>
      <c r="Q42" s="8">
        <f t="shared" si="12"/>
        <v>33.696084164910594</v>
      </c>
      <c r="R42" s="43">
        <f t="shared" si="12"/>
        <v>34.706966689857914</v>
      </c>
      <c r="S42" s="61">
        <f t="shared" si="12"/>
        <v>35.748175690553659</v>
      </c>
      <c r="T42" s="8">
        <f t="shared" si="12"/>
        <v>36.820620961270265</v>
      </c>
      <c r="U42" s="8">
        <f t="shared" si="12"/>
        <v>37.925239590108383</v>
      </c>
      <c r="V42" s="8">
        <f t="shared" si="12"/>
        <v>39.062996777811634</v>
      </c>
      <c r="W42" s="8">
        <f t="shared" si="12"/>
        <v>40.234886681145987</v>
      </c>
      <c r="X42" s="8">
        <f t="shared" si="12"/>
        <v>41.441933281580361</v>
      </c>
      <c r="Y42" s="43">
        <f t="shared" si="12"/>
        <v>42.685191280027773</v>
      </c>
    </row>
    <row r="43" spans="2:34" x14ac:dyDescent="0.25">
      <c r="B43" s="147"/>
      <c r="C43" s="77"/>
      <c r="D43" s="77"/>
      <c r="E43" s="77"/>
      <c r="F43" s="78"/>
      <c r="G43" s="78"/>
      <c r="H43" s="78"/>
      <c r="I43" s="79"/>
      <c r="J43" s="79"/>
      <c r="K43" s="79"/>
      <c r="L43" s="79"/>
      <c r="M43" s="79"/>
      <c r="N43" s="79"/>
      <c r="O43" s="79"/>
      <c r="P43" s="79"/>
      <c r="Q43" s="79"/>
      <c r="R43" s="80"/>
      <c r="S43" s="57"/>
      <c r="T43" s="37"/>
      <c r="U43" s="37"/>
      <c r="V43" s="37"/>
      <c r="W43" s="58"/>
      <c r="X43" s="58"/>
      <c r="Y43" s="59"/>
    </row>
    <row r="44" spans="2:34" x14ac:dyDescent="0.25">
      <c r="B44" s="147"/>
      <c r="C44" s="160" t="s">
        <v>42</v>
      </c>
      <c r="D44" s="161"/>
      <c r="E44" s="11" t="s">
        <v>5</v>
      </c>
      <c r="F44" s="8">
        <f>F45/0.144</f>
        <v>2057.6388888888891</v>
      </c>
      <c r="G44" s="8">
        <f>G45/0.144</f>
        <v>2133.3333333333335</v>
      </c>
      <c r="H44" s="8">
        <f>H45/0.144</f>
        <v>2213.1944444444443</v>
      </c>
      <c r="I44" s="8">
        <f>I45/0.144</f>
        <v>2360.4166666666665</v>
      </c>
      <c r="J44" s="8">
        <f t="shared" ref="J44:Y44" si="13">J40*$D$39</f>
        <v>2431.2291666666665</v>
      </c>
      <c r="K44" s="8">
        <f t="shared" si="13"/>
        <v>2504.1660416666664</v>
      </c>
      <c r="L44" s="8">
        <f t="shared" si="13"/>
        <v>2579.2910229166664</v>
      </c>
      <c r="M44" s="8">
        <f t="shared" si="13"/>
        <v>2656.6697536041665</v>
      </c>
      <c r="N44" s="8">
        <f t="shared" si="13"/>
        <v>2736.3698462122916</v>
      </c>
      <c r="O44" s="8">
        <f t="shared" si="13"/>
        <v>2818.4609415986606</v>
      </c>
      <c r="P44" s="8">
        <f t="shared" si="13"/>
        <v>2903.0147698466208</v>
      </c>
      <c r="Q44" s="8">
        <f t="shared" si="13"/>
        <v>2990.1052129420191</v>
      </c>
      <c r="R44" s="43">
        <f t="shared" si="13"/>
        <v>3079.8083693302797</v>
      </c>
      <c r="S44" s="61">
        <f t="shared" si="13"/>
        <v>3172.2026204101885</v>
      </c>
      <c r="T44" s="8">
        <f t="shared" si="13"/>
        <v>3267.3686990224942</v>
      </c>
      <c r="U44" s="8">
        <f t="shared" si="13"/>
        <v>3365.3897599931693</v>
      </c>
      <c r="V44" s="8">
        <f t="shared" si="13"/>
        <v>3466.3514527929647</v>
      </c>
      <c r="W44" s="8">
        <f t="shared" si="13"/>
        <v>3570.3419963767537</v>
      </c>
      <c r="X44" s="8">
        <f t="shared" si="13"/>
        <v>3677.4522562680563</v>
      </c>
      <c r="Y44" s="43">
        <f t="shared" si="13"/>
        <v>3787.7758239560981</v>
      </c>
    </row>
    <row r="45" spans="2:34" x14ac:dyDescent="0.25">
      <c r="B45" s="147"/>
      <c r="C45" s="162"/>
      <c r="D45" s="163"/>
      <c r="E45" s="11" t="s">
        <v>10</v>
      </c>
      <c r="F45" s="8">
        <v>296.3</v>
      </c>
      <c r="G45" s="8">
        <v>307.2</v>
      </c>
      <c r="H45" s="8">
        <v>318.7</v>
      </c>
      <c r="I45" s="8">
        <v>339.9</v>
      </c>
      <c r="J45" s="10">
        <f>0.144*J44</f>
        <v>350.09699999999998</v>
      </c>
      <c r="K45" s="10">
        <f>0.144*K44</f>
        <v>360.59990999999991</v>
      </c>
      <c r="L45" s="10">
        <f t="shared" ref="L45:R45" si="14">0.144*L44</f>
        <v>371.41790729999991</v>
      </c>
      <c r="M45" s="10">
        <f t="shared" si="14"/>
        <v>382.56044451899993</v>
      </c>
      <c r="N45" s="10">
        <f t="shared" si="14"/>
        <v>394.03725785456993</v>
      </c>
      <c r="O45" s="10">
        <f t="shared" si="14"/>
        <v>405.85837559020712</v>
      </c>
      <c r="P45" s="10">
        <f t="shared" si="14"/>
        <v>418.03412685791335</v>
      </c>
      <c r="Q45" s="10">
        <f t="shared" si="14"/>
        <v>430.57515066365073</v>
      </c>
      <c r="R45" s="48">
        <f t="shared" si="14"/>
        <v>443.49240518356027</v>
      </c>
      <c r="S45" s="63">
        <f t="shared" ref="S45:Y45" si="15">0.144*S44</f>
        <v>456.7971773390671</v>
      </c>
      <c r="T45" s="10">
        <f t="shared" si="15"/>
        <v>470.50109265923913</v>
      </c>
      <c r="U45" s="10">
        <f t="shared" si="15"/>
        <v>484.61612543901634</v>
      </c>
      <c r="V45" s="10">
        <f t="shared" si="15"/>
        <v>499.15460920218686</v>
      </c>
      <c r="W45" s="10">
        <f t="shared" si="15"/>
        <v>514.12924747825252</v>
      </c>
      <c r="X45" s="10">
        <f t="shared" si="15"/>
        <v>529.55312490260008</v>
      </c>
      <c r="Y45" s="48">
        <f t="shared" si="15"/>
        <v>545.43971864967807</v>
      </c>
    </row>
    <row r="46" spans="2:34" ht="30" x14ac:dyDescent="0.25">
      <c r="B46" s="147"/>
      <c r="C46" s="162"/>
      <c r="D46" s="163"/>
      <c r="E46" s="7" t="s">
        <v>8</v>
      </c>
      <c r="F46" s="8"/>
      <c r="G46" s="8">
        <f>G45-F45</f>
        <v>10.899999999999977</v>
      </c>
      <c r="H46" s="8">
        <f>H45-G45</f>
        <v>11.5</v>
      </c>
      <c r="I46" s="8">
        <f>I45-H45</f>
        <v>21.199999999999989</v>
      </c>
      <c r="J46" s="8">
        <f>J45-I45</f>
        <v>10.197000000000003</v>
      </c>
      <c r="K46" s="8">
        <f t="shared" ref="K46:R46" si="16">K45-J45</f>
        <v>10.502909999999929</v>
      </c>
      <c r="L46" s="8">
        <f t="shared" si="16"/>
        <v>10.817997300000002</v>
      </c>
      <c r="M46" s="8">
        <f t="shared" si="16"/>
        <v>11.142537219000019</v>
      </c>
      <c r="N46" s="8">
        <f t="shared" si="16"/>
        <v>11.47681333557</v>
      </c>
      <c r="O46" s="8">
        <f t="shared" si="16"/>
        <v>11.821117735637188</v>
      </c>
      <c r="P46" s="8">
        <f t="shared" si="16"/>
        <v>12.175751267706232</v>
      </c>
      <c r="Q46" s="8">
        <f t="shared" si="16"/>
        <v>12.541023805737382</v>
      </c>
      <c r="R46" s="43">
        <f t="shared" si="16"/>
        <v>12.917254519909534</v>
      </c>
      <c r="S46" s="61">
        <f t="shared" ref="S46:Y46" si="17">S45-R45</f>
        <v>13.304772155506839</v>
      </c>
      <c r="T46" s="8">
        <f t="shared" si="17"/>
        <v>13.70391532017203</v>
      </c>
      <c r="U46" s="8">
        <f t="shared" si="17"/>
        <v>14.115032779777209</v>
      </c>
      <c r="V46" s="8">
        <f t="shared" si="17"/>
        <v>14.538483763170518</v>
      </c>
      <c r="W46" s="8">
        <f t="shared" si="17"/>
        <v>14.974638276065662</v>
      </c>
      <c r="X46" s="8">
        <f t="shared" si="17"/>
        <v>15.423877424347552</v>
      </c>
      <c r="Y46" s="43">
        <f t="shared" si="17"/>
        <v>15.886593747077995</v>
      </c>
    </row>
    <row r="47" spans="2:34" ht="75" x14ac:dyDescent="0.25">
      <c r="B47" s="147"/>
      <c r="C47" s="162"/>
      <c r="D47" s="163"/>
      <c r="E47" s="13" t="s">
        <v>9</v>
      </c>
      <c r="F47" s="5"/>
      <c r="G47" s="5">
        <f t="shared" ref="G47:R47" si="18">G46/F42</f>
        <v>0.44777159022556301</v>
      </c>
      <c r="H47" s="5">
        <f t="shared" si="18"/>
        <v>0.45865977443609018</v>
      </c>
      <c r="I47" s="5">
        <f>I46/H42</f>
        <v>0.82090225563909724</v>
      </c>
      <c r="J47" s="5">
        <f>J46/I42</f>
        <v>0.38334586466165421</v>
      </c>
      <c r="K47" s="5">
        <f>K46/J42</f>
        <v>0.38334586466165149</v>
      </c>
      <c r="L47" s="5">
        <f t="shared" si="18"/>
        <v>0.38334586466165416</v>
      </c>
      <c r="M47" s="5">
        <f t="shared" si="18"/>
        <v>0.38334586466165471</v>
      </c>
      <c r="N47" s="5">
        <f t="shared" si="18"/>
        <v>0.38334586466165416</v>
      </c>
      <c r="O47" s="5">
        <f t="shared" si="18"/>
        <v>0.38334586466165693</v>
      </c>
      <c r="P47" s="5">
        <f t="shared" si="18"/>
        <v>0.38334586466165466</v>
      </c>
      <c r="Q47" s="5">
        <f t="shared" si="18"/>
        <v>0.38334586466165349</v>
      </c>
      <c r="R47" s="69">
        <f t="shared" si="18"/>
        <v>0.38334586466165443</v>
      </c>
      <c r="S47" s="68">
        <f t="shared" ref="S47:Y47" si="19">S46/R42</f>
        <v>0.38334586466165499</v>
      </c>
      <c r="T47" s="5">
        <f t="shared" si="19"/>
        <v>0.38334586466165449</v>
      </c>
      <c r="U47" s="5">
        <f t="shared" si="19"/>
        <v>0.38334586466165504</v>
      </c>
      <c r="V47" s="5">
        <f t="shared" si="19"/>
        <v>0.38334586466165471</v>
      </c>
      <c r="W47" s="5">
        <f t="shared" si="19"/>
        <v>0.38334586466165543</v>
      </c>
      <c r="X47" s="5">
        <f t="shared" si="19"/>
        <v>0.38334586466165343</v>
      </c>
      <c r="Y47" s="69">
        <f t="shared" si="19"/>
        <v>0.38334586466165388</v>
      </c>
    </row>
    <row r="48" spans="2:34" ht="45.75" thickBot="1" x14ac:dyDescent="0.3">
      <c r="B48" s="148"/>
      <c r="C48" s="164"/>
      <c r="D48" s="165"/>
      <c r="E48" s="81" t="s">
        <v>13</v>
      </c>
      <c r="F48" s="74">
        <f t="shared" ref="F48:R48" si="20">F42-G46</f>
        <v>13.442768138794065</v>
      </c>
      <c r="G48" s="74">
        <f t="shared" si="20"/>
        <v>13.573051182957869</v>
      </c>
      <c r="H48" s="74">
        <f>H42-I46</f>
        <v>4.6252427184466143</v>
      </c>
      <c r="I48" s="74">
        <f>I42-J46</f>
        <v>16.402999999999999</v>
      </c>
      <c r="J48" s="74">
        <f>J42-K46</f>
        <v>16.895090000000074</v>
      </c>
      <c r="K48" s="74">
        <f t="shared" si="20"/>
        <v>17.401942699999999</v>
      </c>
      <c r="L48" s="74">
        <f t="shared" si="20"/>
        <v>17.924000980999985</v>
      </c>
      <c r="M48" s="74">
        <f t="shared" si="20"/>
        <v>18.461721010430001</v>
      </c>
      <c r="N48" s="74">
        <f t="shared" si="20"/>
        <v>19.015572640742818</v>
      </c>
      <c r="O48" s="74">
        <f t="shared" si="20"/>
        <v>19.586039819965176</v>
      </c>
      <c r="P48" s="74">
        <f t="shared" si="20"/>
        <v>20.173621014564169</v>
      </c>
      <c r="Q48" s="74">
        <f t="shared" si="20"/>
        <v>20.778829645001061</v>
      </c>
      <c r="R48" s="75">
        <f t="shared" si="20"/>
        <v>21.402194534351075</v>
      </c>
      <c r="S48" s="73">
        <f t="shared" ref="S48:Y48" si="21">S42-T46</f>
        <v>22.044260370381629</v>
      </c>
      <c r="T48" s="74">
        <f t="shared" si="21"/>
        <v>22.705588181493056</v>
      </c>
      <c r="U48" s="74">
        <f t="shared" si="21"/>
        <v>23.386755826937865</v>
      </c>
      <c r="V48" s="74">
        <f t="shared" si="21"/>
        <v>24.088358501745972</v>
      </c>
      <c r="W48" s="74">
        <f t="shared" si="21"/>
        <v>24.811009256798435</v>
      </c>
      <c r="X48" s="74">
        <f t="shared" si="21"/>
        <v>25.555339534502366</v>
      </c>
      <c r="Y48" s="75">
        <f t="shared" si="21"/>
        <v>42.685191280027773</v>
      </c>
    </row>
    <row r="50" spans="2:25" ht="15.75" thickBot="1" x14ac:dyDescent="0.3"/>
    <row r="51" spans="2:25" ht="15" customHeight="1" x14ac:dyDescent="0.25">
      <c r="B51" s="152" t="s">
        <v>15</v>
      </c>
      <c r="C51" s="149"/>
      <c r="D51" s="150"/>
      <c r="E51" s="150"/>
      <c r="F51" s="150"/>
      <c r="G51" s="150"/>
      <c r="H51" s="150"/>
      <c r="I51" s="150"/>
      <c r="J51" s="155"/>
      <c r="K51" s="38"/>
      <c r="L51" s="38"/>
      <c r="M51" s="38"/>
      <c r="N51" s="38"/>
      <c r="O51" s="38"/>
      <c r="P51" s="38"/>
      <c r="Q51" s="38"/>
      <c r="R51" s="39"/>
      <c r="S51" s="53"/>
      <c r="T51" s="54"/>
      <c r="U51" s="54"/>
      <c r="V51" s="54"/>
      <c r="W51" s="55"/>
      <c r="X51" s="55"/>
      <c r="Y51" s="56"/>
    </row>
    <row r="52" spans="2:25" x14ac:dyDescent="0.25">
      <c r="B52" s="153"/>
      <c r="C52" s="156" t="s">
        <v>16</v>
      </c>
      <c r="D52" s="157"/>
      <c r="E52" s="1"/>
      <c r="F52" s="1">
        <v>2016</v>
      </c>
      <c r="G52" s="1">
        <v>2017</v>
      </c>
      <c r="H52" s="1">
        <v>2018</v>
      </c>
      <c r="I52" s="14">
        <v>2019</v>
      </c>
      <c r="J52" s="1">
        <v>2020</v>
      </c>
      <c r="K52" s="1">
        <v>2021</v>
      </c>
      <c r="L52" s="1">
        <v>2022</v>
      </c>
      <c r="M52" s="1">
        <v>2023</v>
      </c>
      <c r="N52" s="1">
        <v>2024</v>
      </c>
      <c r="O52" s="1">
        <v>2025</v>
      </c>
      <c r="P52" s="1">
        <v>2026</v>
      </c>
      <c r="Q52" s="1">
        <v>2027</v>
      </c>
      <c r="R52" s="42">
        <v>2028</v>
      </c>
      <c r="S52" s="60">
        <v>2029</v>
      </c>
      <c r="T52" s="1">
        <v>2030</v>
      </c>
      <c r="U52" s="1">
        <v>2031</v>
      </c>
      <c r="V52" s="1">
        <v>2032</v>
      </c>
      <c r="W52" s="1">
        <v>2033</v>
      </c>
      <c r="X52" s="1">
        <v>2034</v>
      </c>
      <c r="Y52" s="42">
        <v>2035</v>
      </c>
    </row>
    <row r="53" spans="2:25" x14ac:dyDescent="0.25">
      <c r="B53" s="153"/>
      <c r="C53" s="157"/>
      <c r="D53" s="157"/>
      <c r="E53" s="11" t="s">
        <v>0</v>
      </c>
      <c r="F53" s="8">
        <f>G53/$D$40</f>
        <v>6405.9916154721168</v>
      </c>
      <c r="G53" s="8">
        <f>H53/$D$40</f>
        <v>6598.1713639362806</v>
      </c>
      <c r="H53" s="8">
        <f>I53/$D$40</f>
        <v>6796.1165048543689</v>
      </c>
      <c r="I53" s="15">
        <v>7000</v>
      </c>
      <c r="J53" s="8">
        <f t="shared" ref="J53:Y53" si="22">I53*$D$40</f>
        <v>7210</v>
      </c>
      <c r="K53" s="8">
        <f t="shared" si="22"/>
        <v>7426.3</v>
      </c>
      <c r="L53" s="8">
        <f t="shared" si="22"/>
        <v>7649.0889999999999</v>
      </c>
      <c r="M53" s="8">
        <f t="shared" si="22"/>
        <v>7878.56167</v>
      </c>
      <c r="N53" s="8">
        <f t="shared" si="22"/>
        <v>8114.9185201</v>
      </c>
      <c r="O53" s="8">
        <f t="shared" si="22"/>
        <v>8358.3660757030011</v>
      </c>
      <c r="P53" s="8">
        <f t="shared" si="22"/>
        <v>8609.1170579740919</v>
      </c>
      <c r="Q53" s="8">
        <f t="shared" si="22"/>
        <v>8867.3905697133141</v>
      </c>
      <c r="R53" s="43">
        <f t="shared" si="22"/>
        <v>9133.4122868047143</v>
      </c>
      <c r="S53" s="61">
        <f t="shared" si="22"/>
        <v>9407.4146554088566</v>
      </c>
      <c r="T53" s="8">
        <f t="shared" si="22"/>
        <v>9689.6370950711225</v>
      </c>
      <c r="U53" s="8">
        <f t="shared" si="22"/>
        <v>9980.3262079232572</v>
      </c>
      <c r="V53" s="8">
        <f t="shared" si="22"/>
        <v>10279.735994160956</v>
      </c>
      <c r="W53" s="8">
        <f t="shared" si="22"/>
        <v>10588.128073985785</v>
      </c>
      <c r="X53" s="8">
        <f t="shared" si="22"/>
        <v>10905.771916205358</v>
      </c>
      <c r="Y53" s="43">
        <f t="shared" si="22"/>
        <v>11232.945073691519</v>
      </c>
    </row>
    <row r="54" spans="2:25" x14ac:dyDescent="0.25">
      <c r="B54" s="153"/>
      <c r="C54" s="157"/>
      <c r="D54" s="157"/>
      <c r="E54" s="1" t="s">
        <v>1</v>
      </c>
      <c r="F54" s="8">
        <f t="shared" ref="F54:Y54" si="23">$D$41*F53</f>
        <v>128.11983230944233</v>
      </c>
      <c r="G54" s="8">
        <f t="shared" si="23"/>
        <v>131.96342727872562</v>
      </c>
      <c r="H54" s="8">
        <f t="shared" si="23"/>
        <v>135.92233009708738</v>
      </c>
      <c r="I54" s="8">
        <f t="shared" si="23"/>
        <v>140</v>
      </c>
      <c r="J54" s="8">
        <f t="shared" si="23"/>
        <v>144.20000000000002</v>
      </c>
      <c r="K54" s="8">
        <f t="shared" si="23"/>
        <v>148.52600000000001</v>
      </c>
      <c r="L54" s="8">
        <f t="shared" si="23"/>
        <v>152.98178000000001</v>
      </c>
      <c r="M54" s="8">
        <f t="shared" si="23"/>
        <v>157.57123340000001</v>
      </c>
      <c r="N54" s="8">
        <f t="shared" si="23"/>
        <v>162.29837040200002</v>
      </c>
      <c r="O54" s="8">
        <f t="shared" si="23"/>
        <v>167.16732151406003</v>
      </c>
      <c r="P54" s="8">
        <f t="shared" si="23"/>
        <v>172.18234115948184</v>
      </c>
      <c r="Q54" s="8">
        <f t="shared" si="23"/>
        <v>177.34781139426627</v>
      </c>
      <c r="R54" s="43">
        <f t="shared" si="23"/>
        <v>182.66824573609429</v>
      </c>
      <c r="S54" s="61">
        <f t="shared" si="23"/>
        <v>188.14829310817714</v>
      </c>
      <c r="T54" s="8">
        <f t="shared" si="23"/>
        <v>193.79274190142246</v>
      </c>
      <c r="U54" s="8">
        <f t="shared" si="23"/>
        <v>199.60652415846516</v>
      </c>
      <c r="V54" s="8">
        <f t="shared" si="23"/>
        <v>205.59471988321911</v>
      </c>
      <c r="W54" s="8">
        <f t="shared" si="23"/>
        <v>211.76256147971571</v>
      </c>
      <c r="X54" s="8">
        <f t="shared" si="23"/>
        <v>218.11543832410717</v>
      </c>
      <c r="Y54" s="43">
        <f t="shared" si="23"/>
        <v>224.65890147383038</v>
      </c>
    </row>
    <row r="55" spans="2:25" x14ac:dyDescent="0.25">
      <c r="B55" s="153"/>
      <c r="C55" s="157"/>
      <c r="D55" s="157"/>
      <c r="E55" s="1" t="s">
        <v>2</v>
      </c>
      <c r="F55" s="8">
        <f t="shared" ref="F55:Y55" si="24">$D$42*F54</f>
        <v>24.342768138794042</v>
      </c>
      <c r="G55" s="8">
        <f t="shared" si="24"/>
        <v>25.073051182957869</v>
      </c>
      <c r="H55" s="8">
        <f t="shared" si="24"/>
        <v>25.825242718446603</v>
      </c>
      <c r="I55" s="8">
        <f t="shared" si="24"/>
        <v>26.6</v>
      </c>
      <c r="J55" s="8">
        <f t="shared" si="24"/>
        <v>27.398000000000003</v>
      </c>
      <c r="K55" s="8">
        <f t="shared" si="24"/>
        <v>28.219940000000001</v>
      </c>
      <c r="L55" s="8">
        <f t="shared" si="24"/>
        <v>29.066538200000004</v>
      </c>
      <c r="M55" s="8">
        <f t="shared" si="24"/>
        <v>29.938534346000001</v>
      </c>
      <c r="N55" s="8">
        <f t="shared" si="24"/>
        <v>30.836690376380005</v>
      </c>
      <c r="O55" s="8">
        <f t="shared" si="24"/>
        <v>31.761791087671408</v>
      </c>
      <c r="P55" s="8">
        <f t="shared" si="24"/>
        <v>32.714644820301551</v>
      </c>
      <c r="Q55" s="8">
        <f t="shared" si="24"/>
        <v>33.696084164910594</v>
      </c>
      <c r="R55" s="43">
        <f t="shared" si="24"/>
        <v>34.706966689857914</v>
      </c>
      <c r="S55" s="61">
        <f t="shared" si="24"/>
        <v>35.748175690553659</v>
      </c>
      <c r="T55" s="8">
        <f t="shared" si="24"/>
        <v>36.820620961270265</v>
      </c>
      <c r="U55" s="8">
        <f t="shared" si="24"/>
        <v>37.925239590108383</v>
      </c>
      <c r="V55" s="8">
        <f t="shared" si="24"/>
        <v>39.062996777811634</v>
      </c>
      <c r="W55" s="8">
        <f t="shared" si="24"/>
        <v>40.234886681145987</v>
      </c>
      <c r="X55" s="8">
        <f t="shared" si="24"/>
        <v>41.441933281580361</v>
      </c>
      <c r="Y55" s="43">
        <f t="shared" si="24"/>
        <v>42.685191280027773</v>
      </c>
    </row>
    <row r="56" spans="2:25" x14ac:dyDescent="0.25">
      <c r="B56" s="153"/>
      <c r="C56" s="16"/>
      <c r="D56" s="16"/>
      <c r="E56" s="16"/>
      <c r="F56" s="17"/>
      <c r="G56" s="17"/>
      <c r="H56" s="17"/>
      <c r="I56" s="18"/>
      <c r="J56" s="18"/>
      <c r="K56" s="18"/>
      <c r="L56" s="19" t="s">
        <v>27</v>
      </c>
      <c r="M56" s="18"/>
      <c r="N56" s="18"/>
      <c r="O56" s="18"/>
      <c r="P56" s="18"/>
      <c r="Q56" s="18"/>
      <c r="R56" s="41"/>
      <c r="S56" s="57"/>
      <c r="T56" s="37"/>
      <c r="U56" s="37"/>
      <c r="V56" s="37"/>
      <c r="W56" s="58"/>
      <c r="X56" s="58"/>
      <c r="Y56" s="59"/>
    </row>
    <row r="57" spans="2:25" ht="15" customHeight="1" x14ac:dyDescent="0.25">
      <c r="B57" s="153"/>
      <c r="C57" s="144" t="s">
        <v>29</v>
      </c>
      <c r="D57" s="144" t="s">
        <v>30</v>
      </c>
      <c r="E57" s="1" t="s">
        <v>5</v>
      </c>
      <c r="F57" s="8">
        <f>$D$39*F53</f>
        <v>2160.1156250981867</v>
      </c>
      <c r="G57" s="8">
        <f>$D$39*G53</f>
        <v>2224.9190938511324</v>
      </c>
      <c r="H57" s="8">
        <f>$D$39*H53</f>
        <v>2291.6666666666665</v>
      </c>
      <c r="I57" s="8">
        <f>I58/0.144</f>
        <v>2360.4166666666665</v>
      </c>
      <c r="J57" s="8">
        <f>J53*$D$39</f>
        <v>2431.2291666666665</v>
      </c>
      <c r="K57" s="8">
        <f>K53*$D$39</f>
        <v>2504.1660416666664</v>
      </c>
      <c r="L57" s="8">
        <f t="shared" ref="L57:Y57" si="25">$D$39*L53*(1+Y$5)</f>
        <v>2605.0839331458333</v>
      </c>
      <c r="M57" s="8">
        <f t="shared" si="25"/>
        <v>2677.9231116329997</v>
      </c>
      <c r="N57" s="8">
        <f t="shared" si="25"/>
        <v>2752.7880652895656</v>
      </c>
      <c r="O57" s="8">
        <f t="shared" si="25"/>
        <v>2829.7347853650554</v>
      </c>
      <c r="P57" s="8">
        <f t="shared" si="25"/>
        <v>2908.8207993863139</v>
      </c>
      <c r="Q57" s="8">
        <f t="shared" si="25"/>
        <v>2990.1052129420191</v>
      </c>
      <c r="R57" s="8">
        <f t="shared" si="25"/>
        <v>3079.8083693302797</v>
      </c>
      <c r="S57" s="8">
        <f t="shared" si="25"/>
        <v>3172.2026204101885</v>
      </c>
      <c r="T57" s="8">
        <f t="shared" si="25"/>
        <v>3267.3686990224942</v>
      </c>
      <c r="U57" s="8">
        <f t="shared" si="25"/>
        <v>3365.3897599931693</v>
      </c>
      <c r="V57" s="8">
        <f t="shared" si="25"/>
        <v>3466.3514527929647</v>
      </c>
      <c r="W57" s="8">
        <f t="shared" si="25"/>
        <v>3570.3419963767537</v>
      </c>
      <c r="X57" s="8">
        <f t="shared" si="25"/>
        <v>3677.4522562680563</v>
      </c>
      <c r="Y57" s="8">
        <f t="shared" si="25"/>
        <v>3787.7758239560981</v>
      </c>
    </row>
    <row r="58" spans="2:25" ht="15" customHeight="1" x14ac:dyDescent="0.25">
      <c r="B58" s="153"/>
      <c r="C58" s="145"/>
      <c r="D58" s="145"/>
      <c r="E58" s="1" t="s">
        <v>6</v>
      </c>
      <c r="F58" s="8">
        <v>296.3</v>
      </c>
      <c r="G58" s="8">
        <v>307.2</v>
      </c>
      <c r="H58" s="8">
        <v>318.7</v>
      </c>
      <c r="I58" s="8">
        <v>339.9</v>
      </c>
      <c r="J58" s="10">
        <f t="shared" ref="J58:Q58" si="26">0.144*J57</f>
        <v>350.09699999999998</v>
      </c>
      <c r="K58" s="10">
        <f t="shared" si="26"/>
        <v>360.59990999999991</v>
      </c>
      <c r="L58" s="10">
        <f t="shared" si="26"/>
        <v>375.13208637299994</v>
      </c>
      <c r="M58" s="10">
        <f t="shared" si="26"/>
        <v>385.62092807515194</v>
      </c>
      <c r="N58" s="10">
        <f t="shared" si="26"/>
        <v>396.40148140169742</v>
      </c>
      <c r="O58" s="10">
        <f t="shared" si="26"/>
        <v>407.48180909256791</v>
      </c>
      <c r="P58" s="10">
        <f t="shared" si="26"/>
        <v>418.87019511162919</v>
      </c>
      <c r="Q58" s="10">
        <f t="shared" si="26"/>
        <v>430.57515066365073</v>
      </c>
      <c r="R58" s="48">
        <f t="shared" ref="R58:Y58" si="27">0.144*R57</f>
        <v>443.49240518356027</v>
      </c>
      <c r="S58" s="63">
        <f t="shared" si="27"/>
        <v>456.7971773390671</v>
      </c>
      <c r="T58" s="10">
        <f t="shared" si="27"/>
        <v>470.50109265923913</v>
      </c>
      <c r="U58" s="10">
        <f t="shared" si="27"/>
        <v>484.61612543901634</v>
      </c>
      <c r="V58" s="10">
        <f t="shared" si="27"/>
        <v>499.15460920218686</v>
      </c>
      <c r="W58" s="10">
        <f t="shared" si="27"/>
        <v>514.12924747825252</v>
      </c>
      <c r="X58" s="10">
        <f t="shared" si="27"/>
        <v>529.55312490260008</v>
      </c>
      <c r="Y58" s="48">
        <f t="shared" si="27"/>
        <v>545.43971864967807</v>
      </c>
    </row>
    <row r="59" spans="2:25" ht="30" x14ac:dyDescent="0.25">
      <c r="B59" s="153"/>
      <c r="C59" s="145"/>
      <c r="D59" s="145"/>
      <c r="E59" s="7" t="s">
        <v>8</v>
      </c>
      <c r="F59" s="8"/>
      <c r="G59" s="8">
        <f t="shared" ref="G59:Q59" si="28">G58-F58</f>
        <v>10.899999999999977</v>
      </c>
      <c r="H59" s="8">
        <f t="shared" si="28"/>
        <v>11.5</v>
      </c>
      <c r="I59" s="8">
        <f>I58-H58</f>
        <v>21.199999999999989</v>
      </c>
      <c r="J59" s="8">
        <f t="shared" si="28"/>
        <v>10.197000000000003</v>
      </c>
      <c r="K59" s="8">
        <f t="shared" si="28"/>
        <v>10.502909999999929</v>
      </c>
      <c r="L59" s="8">
        <f t="shared" si="28"/>
        <v>14.532176373000027</v>
      </c>
      <c r="M59" s="8">
        <f t="shared" si="28"/>
        <v>10.488841702152001</v>
      </c>
      <c r="N59" s="8">
        <f t="shared" si="28"/>
        <v>10.780553326545487</v>
      </c>
      <c r="O59" s="8">
        <f t="shared" si="28"/>
        <v>11.08032769087049</v>
      </c>
      <c r="P59" s="8">
        <f t="shared" si="28"/>
        <v>11.388386019061272</v>
      </c>
      <c r="Q59" s="8">
        <f t="shared" si="28"/>
        <v>11.704955552021545</v>
      </c>
      <c r="R59" s="43">
        <f t="shared" ref="R59:Y59" si="29">R58-Q58</f>
        <v>12.917254519909534</v>
      </c>
      <c r="S59" s="61">
        <f t="shared" si="29"/>
        <v>13.304772155506839</v>
      </c>
      <c r="T59" s="8">
        <f t="shared" si="29"/>
        <v>13.70391532017203</v>
      </c>
      <c r="U59" s="8">
        <f t="shared" si="29"/>
        <v>14.115032779777209</v>
      </c>
      <c r="V59" s="8">
        <f t="shared" si="29"/>
        <v>14.538483763170518</v>
      </c>
      <c r="W59" s="8">
        <f t="shared" si="29"/>
        <v>14.974638276065662</v>
      </c>
      <c r="X59" s="8">
        <f t="shared" si="29"/>
        <v>15.423877424347552</v>
      </c>
      <c r="Y59" s="43">
        <f t="shared" si="29"/>
        <v>15.886593747077995</v>
      </c>
    </row>
    <row r="60" spans="2:25" ht="75" customHeight="1" x14ac:dyDescent="0.25">
      <c r="B60" s="153"/>
      <c r="C60" s="145"/>
      <c r="D60" s="145"/>
      <c r="E60" s="13" t="s">
        <v>9</v>
      </c>
      <c r="F60" s="5"/>
      <c r="G60" s="5">
        <f t="shared" ref="G60:Q60" si="30">G59/F55</f>
        <v>0.44777159022556301</v>
      </c>
      <c r="H60" s="5">
        <f t="shared" si="30"/>
        <v>0.45865977443609018</v>
      </c>
      <c r="I60" s="5">
        <f>I59/H55</f>
        <v>0.82090225563909724</v>
      </c>
      <c r="J60" s="5">
        <f t="shared" si="30"/>
        <v>0.38334586466165421</v>
      </c>
      <c r="K60" s="5">
        <f t="shared" si="30"/>
        <v>0.38334586466165149</v>
      </c>
      <c r="L60" s="5">
        <f t="shared" si="30"/>
        <v>0.51496127819548965</v>
      </c>
      <c r="M60" s="5">
        <f t="shared" si="30"/>
        <v>0.36085624060150379</v>
      </c>
      <c r="N60" s="5">
        <f t="shared" si="30"/>
        <v>0.3600895488721827</v>
      </c>
      <c r="O60" s="5">
        <f t="shared" si="30"/>
        <v>0.3593228571428565</v>
      </c>
      <c r="P60" s="5">
        <f t="shared" si="30"/>
        <v>0.35855616541353563</v>
      </c>
      <c r="Q60" s="5">
        <f t="shared" si="30"/>
        <v>0.3577894736842096</v>
      </c>
      <c r="R60" s="69">
        <f t="shared" ref="R60:Y60" si="31">R59/Q55</f>
        <v>0.38334586466165443</v>
      </c>
      <c r="S60" s="68">
        <f t="shared" si="31"/>
        <v>0.38334586466165499</v>
      </c>
      <c r="T60" s="5">
        <f t="shared" si="31"/>
        <v>0.38334586466165449</v>
      </c>
      <c r="U60" s="5">
        <f t="shared" si="31"/>
        <v>0.38334586466165504</v>
      </c>
      <c r="V60" s="5">
        <f t="shared" si="31"/>
        <v>0.38334586466165471</v>
      </c>
      <c r="W60" s="5">
        <f t="shared" si="31"/>
        <v>0.38334586466165543</v>
      </c>
      <c r="X60" s="5">
        <f t="shared" si="31"/>
        <v>0.38334586466165343</v>
      </c>
      <c r="Y60" s="69">
        <f t="shared" si="31"/>
        <v>0.38334586466165388</v>
      </c>
    </row>
    <row r="61" spans="2:25" ht="45" x14ac:dyDescent="0.25">
      <c r="B61" s="153"/>
      <c r="C61" s="145"/>
      <c r="D61" s="158"/>
      <c r="E61" s="20" t="s">
        <v>13</v>
      </c>
      <c r="F61" s="15"/>
      <c r="G61" s="15">
        <f t="shared" ref="G61:Q61" si="32">G55-H59</f>
        <v>13.573051182957869</v>
      </c>
      <c r="H61" s="15">
        <f>H55-I59</f>
        <v>4.6252427184466143</v>
      </c>
      <c r="I61" s="9">
        <f t="shared" si="32"/>
        <v>16.402999999999999</v>
      </c>
      <c r="J61" s="15">
        <f t="shared" si="32"/>
        <v>16.895090000000074</v>
      </c>
      <c r="K61" s="15">
        <f t="shared" si="32"/>
        <v>13.687763626999974</v>
      </c>
      <c r="L61" s="15">
        <f t="shared" si="32"/>
        <v>18.577696497848002</v>
      </c>
      <c r="M61" s="15">
        <f t="shared" si="32"/>
        <v>19.157981019454514</v>
      </c>
      <c r="N61" s="15">
        <f t="shared" si="32"/>
        <v>19.756362685509515</v>
      </c>
      <c r="O61" s="15">
        <f t="shared" si="32"/>
        <v>20.373405068610136</v>
      </c>
      <c r="P61" s="15">
        <f t="shared" si="32"/>
        <v>21.009689268280006</v>
      </c>
      <c r="Q61" s="15">
        <f t="shared" si="32"/>
        <v>20.778829645001061</v>
      </c>
      <c r="R61" s="71">
        <f t="shared" ref="R61:Y61" si="33">R55-S59</f>
        <v>21.402194534351075</v>
      </c>
      <c r="S61" s="70">
        <f t="shared" si="33"/>
        <v>22.044260370381629</v>
      </c>
      <c r="T61" s="15">
        <f t="shared" si="33"/>
        <v>22.705588181493056</v>
      </c>
      <c r="U61" s="15">
        <f t="shared" si="33"/>
        <v>23.386755826937865</v>
      </c>
      <c r="V61" s="15">
        <f t="shared" si="33"/>
        <v>24.088358501745972</v>
      </c>
      <c r="W61" s="15">
        <f t="shared" si="33"/>
        <v>24.811009256798435</v>
      </c>
      <c r="X61" s="15">
        <f t="shared" si="33"/>
        <v>25.555339534502366</v>
      </c>
      <c r="Y61" s="71">
        <f t="shared" si="33"/>
        <v>42.685191280027773</v>
      </c>
    </row>
    <row r="62" spans="2:25" ht="90" x14ac:dyDescent="0.25">
      <c r="B62" s="153"/>
      <c r="C62" s="145"/>
      <c r="D62" s="22">
        <f>SUM(F62:P62)</f>
        <v>0</v>
      </c>
      <c r="E62" s="21" t="s">
        <v>28</v>
      </c>
      <c r="F62" s="10"/>
      <c r="G62" s="10">
        <f>G61-G$48</f>
        <v>0</v>
      </c>
      <c r="H62" s="10">
        <f>H61-H$48</f>
        <v>0</v>
      </c>
      <c r="I62" s="10">
        <f t="shared" ref="I62:Q62" si="34">I61-I$48</f>
        <v>0</v>
      </c>
      <c r="J62" s="10">
        <f t="shared" si="34"/>
        <v>0</v>
      </c>
      <c r="K62" s="10">
        <f t="shared" si="34"/>
        <v>-3.7141790730000253</v>
      </c>
      <c r="L62" s="26">
        <f t="shared" si="34"/>
        <v>0.65369551684801763</v>
      </c>
      <c r="M62" s="26">
        <f t="shared" si="34"/>
        <v>0.69626000902451324</v>
      </c>
      <c r="N62" s="26">
        <f t="shared" si="34"/>
        <v>0.74079004476669752</v>
      </c>
      <c r="O62" s="10">
        <f t="shared" si="34"/>
        <v>0.78736524864496005</v>
      </c>
      <c r="P62" s="10">
        <f t="shared" si="34"/>
        <v>0.83606825371583682</v>
      </c>
      <c r="Q62" s="10">
        <f t="shared" si="34"/>
        <v>0</v>
      </c>
      <c r="R62" s="48">
        <f t="shared" ref="R62:X62" si="35">R61-R$48</f>
        <v>0</v>
      </c>
      <c r="S62" s="63">
        <f t="shared" si="35"/>
        <v>0</v>
      </c>
      <c r="T62" s="10">
        <f t="shared" si="35"/>
        <v>0</v>
      </c>
      <c r="U62" s="10">
        <f t="shared" si="35"/>
        <v>0</v>
      </c>
      <c r="V62" s="10">
        <f t="shared" si="35"/>
        <v>0</v>
      </c>
      <c r="W62" s="10">
        <f t="shared" si="35"/>
        <v>0</v>
      </c>
      <c r="X62" s="10">
        <f t="shared" si="35"/>
        <v>0</v>
      </c>
      <c r="Y62" s="48"/>
    </row>
    <row r="63" spans="2:25" x14ac:dyDescent="0.25">
      <c r="B63" s="153"/>
      <c r="C63" s="16"/>
      <c r="D63" s="16"/>
      <c r="E63" s="16"/>
      <c r="F63" s="16"/>
      <c r="G63" s="16"/>
      <c r="H63" s="16"/>
      <c r="I63" s="16"/>
      <c r="J63" s="16"/>
      <c r="K63" s="16"/>
      <c r="L63" s="16"/>
      <c r="M63" s="16"/>
      <c r="N63" s="16"/>
      <c r="O63" s="16"/>
      <c r="P63" s="16"/>
      <c r="Q63" s="16"/>
      <c r="R63" s="49"/>
      <c r="S63" s="57"/>
      <c r="T63" s="37"/>
      <c r="U63" s="37"/>
      <c r="V63" s="37"/>
      <c r="W63" s="58"/>
      <c r="X63" s="58"/>
      <c r="Y63" s="59"/>
    </row>
    <row r="64" spans="2:25" ht="15" customHeight="1" x14ac:dyDescent="0.25">
      <c r="B64" s="153"/>
      <c r="C64" s="159" t="s">
        <v>31</v>
      </c>
      <c r="D64" s="144" t="s">
        <v>18</v>
      </c>
      <c r="E64" s="1" t="s">
        <v>5</v>
      </c>
      <c r="F64" s="8">
        <f>$D$39*F53</f>
        <v>2160.1156250981867</v>
      </c>
      <c r="G64" s="8">
        <f>$D$39*G53</f>
        <v>2224.9190938511324</v>
      </c>
      <c r="H64" s="8">
        <f>$D$39*H53</f>
        <v>2291.6666666666665</v>
      </c>
      <c r="I64" s="8">
        <f>I65/0.144</f>
        <v>2360.4166666666665</v>
      </c>
      <c r="J64" s="8">
        <f>J53*$D$39</f>
        <v>2431.2291666666665</v>
      </c>
      <c r="K64" s="8">
        <f>K53*$D$39</f>
        <v>2504.1660416666664</v>
      </c>
      <c r="L64" s="8">
        <f t="shared" ref="L64:Y64" si="36">L53*$D$39*(1+Y8)</f>
        <v>2605.0839331458333</v>
      </c>
      <c r="M64" s="8">
        <f t="shared" si="36"/>
        <v>2680.9118651058047</v>
      </c>
      <c r="N64" s="8">
        <f t="shared" si="36"/>
        <v>2758.9448974435431</v>
      </c>
      <c r="O64" s="8">
        <f t="shared" si="36"/>
        <v>2839.2470910429506</v>
      </c>
      <c r="P64" s="8">
        <f t="shared" si="36"/>
        <v>2921.8843658506235</v>
      </c>
      <c r="Q64" s="8">
        <f t="shared" si="36"/>
        <v>3006.9245547648179</v>
      </c>
      <c r="R64" s="8">
        <f t="shared" si="36"/>
        <v>3094.4374590845987</v>
      </c>
      <c r="S64" s="8">
        <f t="shared" si="36"/>
        <v>3184.4949055642783</v>
      </c>
      <c r="T64" s="8">
        <f t="shared" si="36"/>
        <v>3277.1708051195615</v>
      </c>
      <c r="U64" s="8">
        <f t="shared" si="36"/>
        <v>3373.4666954171526</v>
      </c>
      <c r="V64" s="8">
        <f t="shared" si="36"/>
        <v>3472.5908854079921</v>
      </c>
      <c r="W64" s="8">
        <f t="shared" si="36"/>
        <v>3574.626406772406</v>
      </c>
      <c r="X64" s="8">
        <f t="shared" si="36"/>
        <v>3679.658727621817</v>
      </c>
      <c r="Y64" s="8">
        <f t="shared" si="36"/>
        <v>3787.7758239560981</v>
      </c>
    </row>
    <row r="65" spans="2:25" ht="15" customHeight="1" x14ac:dyDescent="0.25">
      <c r="B65" s="153"/>
      <c r="C65" s="145"/>
      <c r="D65" s="145"/>
      <c r="E65" s="1" t="s">
        <v>10</v>
      </c>
      <c r="F65" s="8">
        <v>296.3</v>
      </c>
      <c r="G65" s="8">
        <v>307.2</v>
      </c>
      <c r="H65" s="8">
        <v>318.7</v>
      </c>
      <c r="I65" s="8">
        <v>339.9</v>
      </c>
      <c r="J65" s="10">
        <f t="shared" ref="J65:Q65" si="37">0.144*J64</f>
        <v>350.09699999999998</v>
      </c>
      <c r="K65" s="10">
        <f t="shared" si="37"/>
        <v>360.59990999999991</v>
      </c>
      <c r="L65" s="10">
        <f t="shared" si="37"/>
        <v>375.13208637299994</v>
      </c>
      <c r="M65" s="10">
        <f t="shared" si="37"/>
        <v>386.05130857523585</v>
      </c>
      <c r="N65" s="10">
        <f t="shared" si="37"/>
        <v>397.28806523187018</v>
      </c>
      <c r="O65" s="10">
        <f t="shared" si="37"/>
        <v>408.85158111018484</v>
      </c>
      <c r="P65" s="10">
        <f t="shared" si="37"/>
        <v>420.75134868248972</v>
      </c>
      <c r="Q65" s="10">
        <f t="shared" si="37"/>
        <v>432.99713588613372</v>
      </c>
      <c r="R65" s="48">
        <f t="shared" ref="R65:Y65" si="38">0.144*R64</f>
        <v>445.59899410818218</v>
      </c>
      <c r="S65" s="63">
        <f t="shared" si="38"/>
        <v>458.56726640125606</v>
      </c>
      <c r="T65" s="10">
        <f t="shared" si="38"/>
        <v>471.91259593721679</v>
      </c>
      <c r="U65" s="10">
        <f t="shared" si="38"/>
        <v>485.77920414006991</v>
      </c>
      <c r="V65" s="10">
        <f t="shared" si="38"/>
        <v>500.05308749875081</v>
      </c>
      <c r="W65" s="10">
        <f t="shared" si="38"/>
        <v>514.74620257522645</v>
      </c>
      <c r="X65" s="10">
        <f t="shared" si="38"/>
        <v>529.87085677754158</v>
      </c>
      <c r="Y65" s="48">
        <f t="shared" si="38"/>
        <v>545.43971864967807</v>
      </c>
    </row>
    <row r="66" spans="2:25" ht="30" x14ac:dyDescent="0.25">
      <c r="B66" s="153"/>
      <c r="C66" s="145"/>
      <c r="D66" s="145"/>
      <c r="E66" s="7" t="s">
        <v>8</v>
      </c>
      <c r="F66" s="8"/>
      <c r="G66" s="8">
        <f t="shared" ref="G66:Y66" si="39">G65-F65</f>
        <v>10.899999999999977</v>
      </c>
      <c r="H66" s="8">
        <f t="shared" si="39"/>
        <v>11.5</v>
      </c>
      <c r="I66" s="8">
        <f t="shared" si="39"/>
        <v>21.199999999999989</v>
      </c>
      <c r="J66" s="8">
        <f t="shared" si="39"/>
        <v>10.197000000000003</v>
      </c>
      <c r="K66" s="8">
        <f t="shared" si="39"/>
        <v>10.502909999999929</v>
      </c>
      <c r="L66" s="8">
        <f t="shared" si="39"/>
        <v>14.532176373000027</v>
      </c>
      <c r="M66" s="8">
        <f t="shared" si="39"/>
        <v>10.919222202235915</v>
      </c>
      <c r="N66" s="8">
        <f t="shared" si="39"/>
        <v>11.236756656634327</v>
      </c>
      <c r="O66" s="8">
        <f t="shared" si="39"/>
        <v>11.563515878314661</v>
      </c>
      <c r="P66" s="8">
        <f t="shared" si="39"/>
        <v>11.899767572304881</v>
      </c>
      <c r="Q66" s="8">
        <f t="shared" si="39"/>
        <v>12.245787203643999</v>
      </c>
      <c r="R66" s="43">
        <f t="shared" si="39"/>
        <v>12.601858222048463</v>
      </c>
      <c r="S66" s="61">
        <f t="shared" si="39"/>
        <v>12.968272293073881</v>
      </c>
      <c r="T66" s="8">
        <f t="shared" si="39"/>
        <v>13.34532953596073</v>
      </c>
      <c r="U66" s="8">
        <f t="shared" si="39"/>
        <v>13.866608202853115</v>
      </c>
      <c r="V66" s="8">
        <f t="shared" si="39"/>
        <v>14.273883358680905</v>
      </c>
      <c r="W66" s="8">
        <f t="shared" si="39"/>
        <v>14.693115076475635</v>
      </c>
      <c r="X66" s="8">
        <f t="shared" si="39"/>
        <v>15.124654202315128</v>
      </c>
      <c r="Y66" s="43">
        <f t="shared" si="39"/>
        <v>15.568861872136495</v>
      </c>
    </row>
    <row r="67" spans="2:25" ht="60" customHeight="1" x14ac:dyDescent="0.25">
      <c r="B67" s="153"/>
      <c r="C67" s="145"/>
      <c r="D67" s="145"/>
      <c r="E67" s="13" t="s">
        <v>9</v>
      </c>
      <c r="F67" s="5"/>
      <c r="G67" s="5">
        <f>G66/F55</f>
        <v>0.44777159022556301</v>
      </c>
      <c r="H67" s="5">
        <f t="shared" ref="H67:Q67" si="40">H66/G55</f>
        <v>0.45865977443609018</v>
      </c>
      <c r="I67" s="5">
        <f>I66/H55</f>
        <v>0.82090225563909724</v>
      </c>
      <c r="J67" s="5">
        <f t="shared" si="40"/>
        <v>0.38334586466165421</v>
      </c>
      <c r="K67" s="5">
        <f t="shared" si="40"/>
        <v>0.38334586466165149</v>
      </c>
      <c r="L67" s="5">
        <f t="shared" si="40"/>
        <v>0.51496127819548965</v>
      </c>
      <c r="M67" s="5">
        <f t="shared" si="40"/>
        <v>0.37566297462406145</v>
      </c>
      <c r="N67" s="5">
        <f t="shared" si="40"/>
        <v>0.37532754699248116</v>
      </c>
      <c r="O67" s="5">
        <f t="shared" si="40"/>
        <v>0.37499211936090171</v>
      </c>
      <c r="P67" s="5">
        <f t="shared" si="40"/>
        <v>0.37465669172932348</v>
      </c>
      <c r="Q67" s="5">
        <f t="shared" si="40"/>
        <v>0.3743212640977443</v>
      </c>
      <c r="R67" s="69">
        <f t="shared" ref="R67:Y67" si="41">R66/Q55</f>
        <v>0.37398583646616729</v>
      </c>
      <c r="S67" s="68">
        <f t="shared" si="41"/>
        <v>0.37365040883458928</v>
      </c>
      <c r="T67" s="5">
        <f t="shared" si="41"/>
        <v>0.37331498120300416</v>
      </c>
      <c r="U67" s="5">
        <f t="shared" si="41"/>
        <v>0.37659897744360948</v>
      </c>
      <c r="V67" s="5">
        <f t="shared" si="41"/>
        <v>0.376368969924815</v>
      </c>
      <c r="W67" s="5">
        <f t="shared" si="41"/>
        <v>0.37613896240601652</v>
      </c>
      <c r="X67" s="5">
        <f t="shared" si="41"/>
        <v>0.37590895488721532</v>
      </c>
      <c r="Y67" s="69">
        <f t="shared" si="41"/>
        <v>0.37567894736842222</v>
      </c>
    </row>
    <row r="68" spans="2:25" ht="45" x14ac:dyDescent="0.25">
      <c r="B68" s="153"/>
      <c r="C68" s="145"/>
      <c r="D68" s="158"/>
      <c r="E68" s="20" t="s">
        <v>13</v>
      </c>
      <c r="F68" s="15"/>
      <c r="G68" s="15">
        <f>G$55-H66</f>
        <v>13.573051182957869</v>
      </c>
      <c r="H68" s="15">
        <f>H$55-I66</f>
        <v>4.6252427184466143</v>
      </c>
      <c r="I68" s="15">
        <f t="shared" ref="I68:Q68" si="42">I$55-J66</f>
        <v>16.402999999999999</v>
      </c>
      <c r="J68" s="15">
        <f t="shared" si="42"/>
        <v>16.895090000000074</v>
      </c>
      <c r="K68" s="15">
        <f t="shared" si="42"/>
        <v>13.687763626999974</v>
      </c>
      <c r="L68" s="15">
        <f t="shared" si="42"/>
        <v>18.147315997764089</v>
      </c>
      <c r="M68" s="15">
        <f t="shared" si="42"/>
        <v>18.701777689365674</v>
      </c>
      <c r="N68" s="15">
        <f t="shared" si="42"/>
        <v>19.273174498065345</v>
      </c>
      <c r="O68" s="15">
        <f t="shared" si="42"/>
        <v>19.862023515366527</v>
      </c>
      <c r="P68" s="15">
        <f t="shared" si="42"/>
        <v>20.468857616657552</v>
      </c>
      <c r="Q68" s="15">
        <f t="shared" si="42"/>
        <v>21.094225942862131</v>
      </c>
      <c r="R68" s="71">
        <f t="shared" ref="R68:Y68" si="43">R$55-S66</f>
        <v>21.738694396784034</v>
      </c>
      <c r="S68" s="70">
        <f t="shared" si="43"/>
        <v>22.402846154592929</v>
      </c>
      <c r="T68" s="15">
        <f t="shared" si="43"/>
        <v>22.95401275841715</v>
      </c>
      <c r="U68" s="15">
        <f t="shared" si="43"/>
        <v>23.651356231427478</v>
      </c>
      <c r="V68" s="15">
        <f t="shared" si="43"/>
        <v>24.369881701335999</v>
      </c>
      <c r="W68" s="15">
        <f t="shared" si="43"/>
        <v>25.110232478830859</v>
      </c>
      <c r="X68" s="15">
        <f t="shared" si="43"/>
        <v>25.873071409443867</v>
      </c>
      <c r="Y68" s="71">
        <f t="shared" si="43"/>
        <v>42.685191280027773</v>
      </c>
    </row>
    <row r="69" spans="2:25" ht="45" customHeight="1" x14ac:dyDescent="0.25">
      <c r="B69" s="153"/>
      <c r="C69" s="145"/>
      <c r="D69" s="22">
        <f>SUM(F69:P69)</f>
        <v>-2.4219852224829879</v>
      </c>
      <c r="E69" s="21" t="s">
        <v>17</v>
      </c>
      <c r="F69" s="10"/>
      <c r="G69" s="10">
        <f t="shared" ref="G69:P69" si="44">G68-G$48</f>
        <v>0</v>
      </c>
      <c r="H69" s="10">
        <f t="shared" si="44"/>
        <v>0</v>
      </c>
      <c r="I69" s="10">
        <f t="shared" si="44"/>
        <v>0</v>
      </c>
      <c r="J69" s="10">
        <f t="shared" si="44"/>
        <v>0</v>
      </c>
      <c r="K69" s="10">
        <f t="shared" si="44"/>
        <v>-3.7141790730000253</v>
      </c>
      <c r="L69" s="10">
        <f t="shared" si="44"/>
        <v>0.22331501676410426</v>
      </c>
      <c r="M69" s="10">
        <f t="shared" si="44"/>
        <v>0.24005667893567306</v>
      </c>
      <c r="N69" s="10">
        <f t="shared" si="44"/>
        <v>0.25760185732252694</v>
      </c>
      <c r="O69" s="10">
        <f t="shared" si="44"/>
        <v>0.27598369540135081</v>
      </c>
      <c r="P69" s="10">
        <f t="shared" si="44"/>
        <v>0.29523660209338232</v>
      </c>
      <c r="Q69" s="10">
        <f t="shared" ref="Q69:Y69" si="45">Q68-Q$48</f>
        <v>0.31539629786107071</v>
      </c>
      <c r="R69" s="48">
        <f t="shared" si="45"/>
        <v>0.33649986243295871</v>
      </c>
      <c r="S69" s="63">
        <f t="shared" si="45"/>
        <v>0.35858578421130005</v>
      </c>
      <c r="T69" s="10">
        <f t="shared" si="45"/>
        <v>0.24842457692409425</v>
      </c>
      <c r="U69" s="10">
        <f t="shared" si="45"/>
        <v>0.26460040448961308</v>
      </c>
      <c r="V69" s="10">
        <f t="shared" si="45"/>
        <v>0.28152319959002625</v>
      </c>
      <c r="W69" s="10">
        <f t="shared" si="45"/>
        <v>0.29922322203242402</v>
      </c>
      <c r="X69" s="10">
        <f t="shared" si="45"/>
        <v>0.31773187494150079</v>
      </c>
      <c r="Y69" s="48">
        <f t="shared" si="45"/>
        <v>0</v>
      </c>
    </row>
    <row r="70" spans="2:25" x14ac:dyDescent="0.25">
      <c r="B70" s="153"/>
      <c r="C70" s="16"/>
      <c r="D70" s="16"/>
      <c r="E70" s="16"/>
      <c r="F70" s="16"/>
      <c r="G70" s="16"/>
      <c r="H70" s="16"/>
      <c r="I70" s="16"/>
      <c r="J70" s="16"/>
      <c r="K70" s="16"/>
      <c r="L70" s="16"/>
      <c r="M70" s="16"/>
      <c r="N70" s="16"/>
      <c r="O70" s="16"/>
      <c r="P70" s="16"/>
      <c r="Q70" s="16"/>
      <c r="R70" s="49"/>
      <c r="S70" s="57"/>
      <c r="T70" s="37"/>
      <c r="U70" s="37"/>
      <c r="V70" s="37"/>
      <c r="W70" s="58"/>
      <c r="X70" s="58"/>
      <c r="Y70" s="59"/>
    </row>
    <row r="71" spans="2:25" ht="15" customHeight="1" x14ac:dyDescent="0.25">
      <c r="B71" s="153"/>
      <c r="C71" s="159" t="s">
        <v>32</v>
      </c>
      <c r="D71" s="144" t="s">
        <v>23</v>
      </c>
      <c r="E71" s="1" t="s">
        <v>5</v>
      </c>
      <c r="F71" s="8">
        <f>$D$39*F53</f>
        <v>2160.1156250981867</v>
      </c>
      <c r="G71" s="8">
        <f>$D$39*G53</f>
        <v>2224.9190938511324</v>
      </c>
      <c r="H71" s="8">
        <f>$D$39*H53</f>
        <v>2291.6666666666665</v>
      </c>
      <c r="I71" s="8">
        <f>I72/0.144</f>
        <v>2360.4166666666665</v>
      </c>
      <c r="J71" s="8">
        <f>J53*$D$39</f>
        <v>2431.2291666666665</v>
      </c>
      <c r="K71" s="8">
        <f>K53*$D$39</f>
        <v>2504.1660416666664</v>
      </c>
      <c r="L71" s="8">
        <f t="shared" ref="L71:Y71" si="46">L53*$D$39*(1+Y11)</f>
        <v>2605.0839331458333</v>
      </c>
      <c r="M71" s="8">
        <f t="shared" si="46"/>
        <v>2682.572283701807</v>
      </c>
      <c r="N71" s="8">
        <f t="shared" si="46"/>
        <v>2762.3653597513085</v>
      </c>
      <c r="O71" s="8">
        <f t="shared" si="46"/>
        <v>2844.5317053084482</v>
      </c>
      <c r="P71" s="8">
        <f t="shared" si="46"/>
        <v>2929.1419027752399</v>
      </c>
      <c r="Q71" s="8">
        <f t="shared" si="46"/>
        <v>3016.2686335552617</v>
      </c>
      <c r="R71" s="8">
        <f t="shared" si="46"/>
        <v>3105.9867404695869</v>
      </c>
      <c r="S71" s="8">
        <f t="shared" si="46"/>
        <v>3198.3732920285729</v>
      </c>
      <c r="T71" s="8">
        <f t="shared" si="46"/>
        <v>3293.5076486146741</v>
      </c>
      <c r="U71" s="8">
        <f t="shared" si="46"/>
        <v>3386.9282544571256</v>
      </c>
      <c r="V71" s="8">
        <f t="shared" si="46"/>
        <v>3482.9899397663708</v>
      </c>
      <c r="W71" s="8">
        <f t="shared" si="46"/>
        <v>3581.7670907651595</v>
      </c>
      <c r="X71" s="8">
        <f t="shared" si="46"/>
        <v>3683.3361798780852</v>
      </c>
      <c r="Y71" s="8">
        <f t="shared" si="46"/>
        <v>3787.7758239560981</v>
      </c>
    </row>
    <row r="72" spans="2:25" ht="15" customHeight="1" x14ac:dyDescent="0.25">
      <c r="B72" s="153"/>
      <c r="C72" s="145"/>
      <c r="D72" s="145"/>
      <c r="E72" s="1" t="s">
        <v>10</v>
      </c>
      <c r="F72" s="8">
        <v>296.3</v>
      </c>
      <c r="G72" s="8">
        <v>307.2</v>
      </c>
      <c r="H72" s="8">
        <v>318.7</v>
      </c>
      <c r="I72" s="8">
        <v>339.9</v>
      </c>
      <c r="J72" s="10">
        <f t="shared" ref="J72:Q72" si="47">0.144*J71</f>
        <v>350.09699999999998</v>
      </c>
      <c r="K72" s="10">
        <f t="shared" si="47"/>
        <v>360.59990999999991</v>
      </c>
      <c r="L72" s="10">
        <f t="shared" si="47"/>
        <v>375.13208637299994</v>
      </c>
      <c r="M72" s="10">
        <f t="shared" si="47"/>
        <v>386.29040885306017</v>
      </c>
      <c r="N72" s="10">
        <f t="shared" si="47"/>
        <v>397.78061180418837</v>
      </c>
      <c r="O72" s="10">
        <f t="shared" si="47"/>
        <v>409.61256556441651</v>
      </c>
      <c r="P72" s="10">
        <f t="shared" si="47"/>
        <v>421.79643399963453</v>
      </c>
      <c r="Q72" s="10">
        <f t="shared" si="47"/>
        <v>434.34268323195766</v>
      </c>
      <c r="R72" s="48">
        <f t="shared" ref="R72:Y72" si="48">0.144*R71</f>
        <v>447.26209062762047</v>
      </c>
      <c r="S72" s="63">
        <f t="shared" si="48"/>
        <v>460.56575405211447</v>
      </c>
      <c r="T72" s="10">
        <f t="shared" si="48"/>
        <v>474.265101400513</v>
      </c>
      <c r="U72" s="10">
        <f t="shared" si="48"/>
        <v>487.71766864182604</v>
      </c>
      <c r="V72" s="10">
        <f t="shared" si="48"/>
        <v>501.55055132635738</v>
      </c>
      <c r="W72" s="10">
        <f t="shared" si="48"/>
        <v>515.77446107018295</v>
      </c>
      <c r="X72" s="10">
        <f t="shared" si="48"/>
        <v>530.40040990244427</v>
      </c>
      <c r="Y72" s="48">
        <f t="shared" si="48"/>
        <v>545.43971864967807</v>
      </c>
    </row>
    <row r="73" spans="2:25" ht="30" x14ac:dyDescent="0.25">
      <c r="B73" s="153"/>
      <c r="C73" s="145"/>
      <c r="D73" s="145"/>
      <c r="E73" s="7" t="s">
        <v>8</v>
      </c>
      <c r="F73" s="8"/>
      <c r="G73" s="8">
        <f t="shared" ref="G73:Q73" si="49">G72-F72</f>
        <v>10.899999999999977</v>
      </c>
      <c r="H73" s="8">
        <f t="shared" si="49"/>
        <v>11.5</v>
      </c>
      <c r="I73" s="8">
        <f>I72-H72</f>
        <v>21.199999999999989</v>
      </c>
      <c r="J73" s="8">
        <f t="shared" si="49"/>
        <v>10.197000000000003</v>
      </c>
      <c r="K73" s="8">
        <f t="shared" si="49"/>
        <v>10.502909999999929</v>
      </c>
      <c r="L73" s="8">
        <f t="shared" si="49"/>
        <v>14.532176373000027</v>
      </c>
      <c r="M73" s="8">
        <f t="shared" si="49"/>
        <v>11.158322480060235</v>
      </c>
      <c r="N73" s="8">
        <f t="shared" si="49"/>
        <v>11.490202951128197</v>
      </c>
      <c r="O73" s="8">
        <f t="shared" si="49"/>
        <v>11.831953760228146</v>
      </c>
      <c r="P73" s="8">
        <f t="shared" si="49"/>
        <v>12.183868435218017</v>
      </c>
      <c r="Q73" s="8">
        <f t="shared" si="49"/>
        <v>12.546249232323134</v>
      </c>
      <c r="R73" s="43">
        <f t="shared" ref="R73:Y73" si="50">R72-Q72</f>
        <v>12.919407395662802</v>
      </c>
      <c r="S73" s="61">
        <f t="shared" si="50"/>
        <v>13.303663424494005</v>
      </c>
      <c r="T73" s="8">
        <f t="shared" si="50"/>
        <v>13.699347348398533</v>
      </c>
      <c r="U73" s="8">
        <f t="shared" si="50"/>
        <v>13.452567241313034</v>
      </c>
      <c r="V73" s="8">
        <f t="shared" si="50"/>
        <v>13.832882684531342</v>
      </c>
      <c r="W73" s="8">
        <f t="shared" si="50"/>
        <v>14.223909743825573</v>
      </c>
      <c r="X73" s="8">
        <f t="shared" si="50"/>
        <v>14.625948832261315</v>
      </c>
      <c r="Y73" s="43">
        <f t="shared" si="50"/>
        <v>15.039308747233804</v>
      </c>
    </row>
    <row r="74" spans="2:25" ht="60" customHeight="1" x14ac:dyDescent="0.25">
      <c r="B74" s="153"/>
      <c r="C74" s="145"/>
      <c r="D74" s="145"/>
      <c r="E74" s="13" t="s">
        <v>9</v>
      </c>
      <c r="F74" s="5"/>
      <c r="G74" s="5">
        <f>G73/F$55</f>
        <v>0.44777159022556301</v>
      </c>
      <c r="H74" s="5">
        <f>H73/G$55</f>
        <v>0.45865977443609018</v>
      </c>
      <c r="I74" s="5">
        <f>I73/H$55</f>
        <v>0.82090225563909724</v>
      </c>
      <c r="J74" s="5">
        <f t="shared" ref="J74:Q74" si="51">J73/I$55</f>
        <v>0.38334586466165421</v>
      </c>
      <c r="K74" s="5">
        <f t="shared" si="51"/>
        <v>0.38334586466165149</v>
      </c>
      <c r="L74" s="5">
        <f t="shared" si="51"/>
        <v>0.51496127819548965</v>
      </c>
      <c r="M74" s="5">
        <f t="shared" si="51"/>
        <v>0.38388893796992424</v>
      </c>
      <c r="N74" s="5">
        <f t="shared" si="51"/>
        <v>0.38379310150376045</v>
      </c>
      <c r="O74" s="5">
        <f t="shared" si="51"/>
        <v>0.38369726503759538</v>
      </c>
      <c r="P74" s="5">
        <f t="shared" si="51"/>
        <v>0.38360142857142843</v>
      </c>
      <c r="Q74" s="5">
        <f t="shared" si="51"/>
        <v>0.38350559210526342</v>
      </c>
      <c r="R74" s="69">
        <f t="shared" ref="R74:Y74" si="52">R73/Q$55</f>
        <v>0.38340975563909657</v>
      </c>
      <c r="S74" s="68">
        <f t="shared" si="52"/>
        <v>0.38331391917293672</v>
      </c>
      <c r="T74" s="5">
        <f t="shared" si="52"/>
        <v>0.38321808270676427</v>
      </c>
      <c r="U74" s="5">
        <f t="shared" si="52"/>
        <v>0.3653541654135356</v>
      </c>
      <c r="V74" s="5">
        <f t="shared" si="52"/>
        <v>0.36474081203007663</v>
      </c>
      <c r="W74" s="5">
        <f t="shared" si="52"/>
        <v>0.36412745864661789</v>
      </c>
      <c r="X74" s="5">
        <f t="shared" si="52"/>
        <v>0.36351410526315747</v>
      </c>
      <c r="Y74" s="69">
        <f t="shared" si="52"/>
        <v>0.36290075187969822</v>
      </c>
    </row>
    <row r="75" spans="2:25" ht="45" x14ac:dyDescent="0.25">
      <c r="B75" s="153"/>
      <c r="C75" s="145"/>
      <c r="D75" s="158"/>
      <c r="E75" s="20" t="s">
        <v>13</v>
      </c>
      <c r="F75" s="15"/>
      <c r="G75" s="15">
        <f>G55-H73</f>
        <v>13.573051182957869</v>
      </c>
      <c r="H75" s="15">
        <f>H55-I73</f>
        <v>4.6252427184466143</v>
      </c>
      <c r="I75" s="15">
        <f t="shared" ref="I75:Q75" si="53">I55-J73</f>
        <v>16.402999999999999</v>
      </c>
      <c r="J75" s="15">
        <f t="shared" si="53"/>
        <v>16.895090000000074</v>
      </c>
      <c r="K75" s="15">
        <f t="shared" si="53"/>
        <v>13.687763626999974</v>
      </c>
      <c r="L75" s="15">
        <f t="shared" si="53"/>
        <v>17.908215719939768</v>
      </c>
      <c r="M75" s="15">
        <f t="shared" si="53"/>
        <v>18.448331394871804</v>
      </c>
      <c r="N75" s="15">
        <f t="shared" si="53"/>
        <v>19.00473661615186</v>
      </c>
      <c r="O75" s="15">
        <f t="shared" si="53"/>
        <v>19.577922652453392</v>
      </c>
      <c r="P75" s="15">
        <f t="shared" si="53"/>
        <v>20.168395587978416</v>
      </c>
      <c r="Q75" s="15">
        <f t="shared" si="53"/>
        <v>20.776676769247793</v>
      </c>
      <c r="R75" s="71">
        <f t="shared" ref="R75:Y75" si="54">R55-S73</f>
        <v>21.40330326536391</v>
      </c>
      <c r="S75" s="70">
        <f t="shared" si="54"/>
        <v>22.048828342155126</v>
      </c>
      <c r="T75" s="15">
        <f t="shared" si="54"/>
        <v>23.368053719957231</v>
      </c>
      <c r="U75" s="15">
        <f t="shared" si="54"/>
        <v>24.092356905577041</v>
      </c>
      <c r="V75" s="15">
        <f t="shared" si="54"/>
        <v>24.839087033986061</v>
      </c>
      <c r="W75" s="15">
        <f t="shared" si="54"/>
        <v>25.608937848884672</v>
      </c>
      <c r="X75" s="15">
        <f t="shared" si="54"/>
        <v>26.402624534346558</v>
      </c>
      <c r="Y75" s="71">
        <f t="shared" si="54"/>
        <v>42.685191280027773</v>
      </c>
    </row>
    <row r="76" spans="2:25" ht="45" customHeight="1" x14ac:dyDescent="0.25">
      <c r="B76" s="153"/>
      <c r="C76" s="145"/>
      <c r="D76" s="22">
        <f>SUM(F76:P76)</f>
        <v>-3.7675325683069332</v>
      </c>
      <c r="E76" s="21" t="s">
        <v>17</v>
      </c>
      <c r="F76" s="10"/>
      <c r="G76" s="10">
        <f>G75-G48</f>
        <v>0</v>
      </c>
      <c r="H76" s="10">
        <f t="shared" ref="H76:Q76" si="55">H75-H48</f>
        <v>0</v>
      </c>
      <c r="I76" s="10">
        <f t="shared" si="55"/>
        <v>0</v>
      </c>
      <c r="J76" s="10">
        <f t="shared" si="55"/>
        <v>0</v>
      </c>
      <c r="K76" s="10">
        <f t="shared" si="55"/>
        <v>-3.7141790730000253</v>
      </c>
      <c r="L76" s="10">
        <f t="shared" si="55"/>
        <v>-1.5785261060216271E-2</v>
      </c>
      <c r="M76" s="10">
        <f t="shared" si="55"/>
        <v>-1.338961555819651E-2</v>
      </c>
      <c r="N76" s="10">
        <f t="shared" si="55"/>
        <v>-1.0836024590958004E-2</v>
      </c>
      <c r="O76" s="10">
        <f t="shared" si="55"/>
        <v>-8.1171675117843733E-3</v>
      </c>
      <c r="P76" s="10">
        <f t="shared" si="55"/>
        <v>-5.2254265857527571E-3</v>
      </c>
      <c r="Q76" s="10">
        <f t="shared" si="55"/>
        <v>-2.1528757532678355E-3</v>
      </c>
      <c r="R76" s="48">
        <f t="shared" ref="R76:Y76" si="56">R75-R48</f>
        <v>1.1087310128345962E-3</v>
      </c>
      <c r="S76" s="63">
        <f t="shared" si="56"/>
        <v>4.5679717734969927E-3</v>
      </c>
      <c r="T76" s="10">
        <f t="shared" si="56"/>
        <v>0.66246553846417555</v>
      </c>
      <c r="U76" s="10">
        <f t="shared" si="56"/>
        <v>0.70560107863917665</v>
      </c>
      <c r="V76" s="10">
        <f t="shared" si="56"/>
        <v>0.75072853224008895</v>
      </c>
      <c r="W76" s="10">
        <f t="shared" si="56"/>
        <v>0.79792859208623668</v>
      </c>
      <c r="X76" s="10">
        <f t="shared" si="56"/>
        <v>0.84728499984419159</v>
      </c>
      <c r="Y76" s="48">
        <f t="shared" si="56"/>
        <v>0</v>
      </c>
    </row>
    <row r="77" spans="2:25" ht="15.75" thickBot="1" x14ac:dyDescent="0.3">
      <c r="B77" s="154"/>
      <c r="C77" s="51"/>
      <c r="D77" s="51"/>
      <c r="E77" s="51"/>
      <c r="F77" s="51"/>
      <c r="G77" s="51"/>
      <c r="H77" s="51"/>
      <c r="I77" s="51"/>
      <c r="J77" s="51"/>
      <c r="K77" s="51"/>
      <c r="L77" s="51"/>
      <c r="M77" s="51"/>
      <c r="N77" s="51"/>
      <c r="O77" s="51"/>
      <c r="P77" s="51"/>
      <c r="Q77" s="51"/>
      <c r="R77" s="52"/>
      <c r="S77" s="64"/>
      <c r="T77" s="65"/>
      <c r="U77" s="65"/>
      <c r="V77" s="65"/>
      <c r="W77" s="66"/>
      <c r="X77" s="66"/>
      <c r="Y77" s="67"/>
    </row>
    <row r="79" spans="2:25" ht="15.75" thickBot="1" x14ac:dyDescent="0.3"/>
    <row r="80" spans="2:25" ht="15" customHeight="1" x14ac:dyDescent="0.25">
      <c r="C80" s="166" t="s">
        <v>14</v>
      </c>
      <c r="D80" s="150"/>
      <c r="E80" s="150"/>
      <c r="F80" s="150"/>
      <c r="G80" s="150"/>
      <c r="H80" s="150"/>
      <c r="I80" s="150"/>
      <c r="J80" s="155"/>
      <c r="K80" s="38"/>
      <c r="L80" s="38"/>
      <c r="M80" s="38"/>
      <c r="N80" s="38"/>
      <c r="O80" s="38"/>
      <c r="P80" s="38"/>
      <c r="Q80" s="38"/>
      <c r="R80" s="39"/>
      <c r="S80" s="53"/>
      <c r="T80" s="54"/>
      <c r="U80" s="54"/>
      <c r="V80" s="54"/>
      <c r="W80" s="55"/>
      <c r="X80" s="55"/>
      <c r="Y80" s="56"/>
    </row>
    <row r="81" spans="3:25" ht="15" customHeight="1" x14ac:dyDescent="0.25">
      <c r="C81" s="40"/>
      <c r="D81" s="16"/>
      <c r="E81" s="16"/>
      <c r="F81" s="17"/>
      <c r="G81" s="17"/>
      <c r="H81" s="17"/>
      <c r="I81" s="17"/>
      <c r="J81" s="17"/>
      <c r="K81" s="17"/>
      <c r="L81" s="17"/>
      <c r="M81" s="18"/>
      <c r="N81" s="19"/>
      <c r="O81" s="18"/>
      <c r="P81" s="18"/>
      <c r="Q81" s="18"/>
      <c r="R81" s="41"/>
      <c r="S81" s="57"/>
      <c r="T81" s="37"/>
      <c r="U81" s="37"/>
      <c r="V81" s="37"/>
      <c r="W81" s="58"/>
      <c r="X81" s="58"/>
      <c r="Y81" s="59"/>
    </row>
    <row r="82" spans="3:25" ht="15" customHeight="1" x14ac:dyDescent="0.25">
      <c r="C82" s="167" t="s">
        <v>39</v>
      </c>
      <c r="D82" s="139" t="s">
        <v>19</v>
      </c>
      <c r="E82" s="1"/>
      <c r="F82" s="1">
        <v>2016</v>
      </c>
      <c r="G82" s="1">
        <v>2017</v>
      </c>
      <c r="H82" s="1">
        <v>2018</v>
      </c>
      <c r="I82" s="14">
        <v>2019</v>
      </c>
      <c r="J82" s="1">
        <v>2020</v>
      </c>
      <c r="K82" s="1">
        <v>2021</v>
      </c>
      <c r="L82" s="1">
        <v>2022</v>
      </c>
      <c r="M82" s="1">
        <v>2023</v>
      </c>
      <c r="N82" s="1">
        <v>2024</v>
      </c>
      <c r="O82" s="1">
        <v>2025</v>
      </c>
      <c r="P82" s="1">
        <v>2026</v>
      </c>
      <c r="Q82" s="1">
        <v>2027</v>
      </c>
      <c r="R82" s="42">
        <v>2028</v>
      </c>
      <c r="S82" s="60">
        <v>2029</v>
      </c>
      <c r="T82" s="1">
        <v>2030</v>
      </c>
      <c r="U82" s="1">
        <v>2031</v>
      </c>
      <c r="V82" s="1">
        <v>2032</v>
      </c>
      <c r="W82" s="1">
        <v>2033</v>
      </c>
      <c r="X82" s="1">
        <v>2034</v>
      </c>
      <c r="Y82" s="42">
        <v>2035</v>
      </c>
    </row>
    <row r="83" spans="3:25" ht="15" customHeight="1" x14ac:dyDescent="0.25">
      <c r="C83" s="143"/>
      <c r="D83" s="140"/>
      <c r="E83" s="1" t="s">
        <v>6</v>
      </c>
      <c r="F83" s="8">
        <f>F45</f>
        <v>296.3</v>
      </c>
      <c r="G83" s="8">
        <f t="shared" ref="G83:R83" si="57">G45</f>
        <v>307.2</v>
      </c>
      <c r="H83" s="8">
        <f t="shared" si="57"/>
        <v>318.7</v>
      </c>
      <c r="I83" s="8">
        <f t="shared" si="57"/>
        <v>339.9</v>
      </c>
      <c r="J83" s="8">
        <f t="shared" si="57"/>
        <v>350.09699999999998</v>
      </c>
      <c r="K83" s="8">
        <f t="shared" si="57"/>
        <v>360.59990999999991</v>
      </c>
      <c r="L83" s="8">
        <f t="shared" si="57"/>
        <v>371.41790729999991</v>
      </c>
      <c r="M83" s="8">
        <f t="shared" si="57"/>
        <v>382.56044451899993</v>
      </c>
      <c r="N83" s="8">
        <f t="shared" si="57"/>
        <v>394.03725785456993</v>
      </c>
      <c r="O83" s="8">
        <f t="shared" si="57"/>
        <v>405.85837559020712</v>
      </c>
      <c r="P83" s="8">
        <f t="shared" si="57"/>
        <v>418.03412685791335</v>
      </c>
      <c r="Q83" s="8">
        <f t="shared" si="57"/>
        <v>430.57515066365073</v>
      </c>
      <c r="R83" s="43">
        <f t="shared" si="57"/>
        <v>443.49240518356027</v>
      </c>
      <c r="S83" s="61">
        <f t="shared" ref="S83:Y83" si="58">S45</f>
        <v>456.7971773390671</v>
      </c>
      <c r="T83" s="8">
        <f t="shared" si="58"/>
        <v>470.50109265923913</v>
      </c>
      <c r="U83" s="8">
        <f t="shared" si="58"/>
        <v>484.61612543901634</v>
      </c>
      <c r="V83" s="8">
        <f t="shared" si="58"/>
        <v>499.15460920218686</v>
      </c>
      <c r="W83" s="8">
        <f t="shared" si="58"/>
        <v>514.12924747825252</v>
      </c>
      <c r="X83" s="8">
        <f t="shared" si="58"/>
        <v>529.55312490260008</v>
      </c>
      <c r="Y83" s="43">
        <f t="shared" si="58"/>
        <v>545.43971864967807</v>
      </c>
    </row>
    <row r="84" spans="3:25" ht="15" customHeight="1" x14ac:dyDescent="0.25">
      <c r="C84" s="143"/>
      <c r="D84" s="140"/>
      <c r="E84" s="1" t="s">
        <v>5</v>
      </c>
      <c r="F84" s="8">
        <f t="shared" ref="F84:P84" si="59">F83/0.144</f>
        <v>2057.6388888888891</v>
      </c>
      <c r="G84" s="8">
        <f t="shared" si="59"/>
        <v>2133.3333333333335</v>
      </c>
      <c r="H84" s="8">
        <f t="shared" si="59"/>
        <v>2213.1944444444443</v>
      </c>
      <c r="I84" s="8">
        <f t="shared" si="59"/>
        <v>2360.4166666666665</v>
      </c>
      <c r="J84" s="8">
        <f t="shared" si="59"/>
        <v>2431.2291666666665</v>
      </c>
      <c r="K84" s="8">
        <f t="shared" si="59"/>
        <v>2504.1660416666664</v>
      </c>
      <c r="L84" s="8">
        <f t="shared" si="59"/>
        <v>2579.2910229166664</v>
      </c>
      <c r="M84" s="8">
        <f t="shared" si="59"/>
        <v>2656.6697536041665</v>
      </c>
      <c r="N84" s="8">
        <f t="shared" si="59"/>
        <v>2736.3698462122916</v>
      </c>
      <c r="O84" s="8">
        <f t="shared" si="59"/>
        <v>2818.4609415986606</v>
      </c>
      <c r="P84" s="8">
        <f t="shared" si="59"/>
        <v>2903.0147698466208</v>
      </c>
      <c r="Q84" s="8">
        <f t="shared" ref="Q84:Y84" si="60">Q83/0.144</f>
        <v>2990.1052129420191</v>
      </c>
      <c r="R84" s="43">
        <f t="shared" ref="R84:X84" si="61">R83/0.144</f>
        <v>3079.8083693302797</v>
      </c>
      <c r="S84" s="61">
        <f t="shared" si="60"/>
        <v>3172.2026204101885</v>
      </c>
      <c r="T84" s="8">
        <f t="shared" si="61"/>
        <v>3267.3686990224942</v>
      </c>
      <c r="U84" s="8">
        <f t="shared" si="60"/>
        <v>3365.3897599931693</v>
      </c>
      <c r="V84" s="8">
        <f t="shared" si="61"/>
        <v>3466.3514527929647</v>
      </c>
      <c r="W84" s="8">
        <f t="shared" si="60"/>
        <v>3570.3419963767537</v>
      </c>
      <c r="X84" s="8">
        <f t="shared" si="61"/>
        <v>3677.4522562680563</v>
      </c>
      <c r="Y84" s="43">
        <f t="shared" si="60"/>
        <v>3787.7758239560981</v>
      </c>
    </row>
    <row r="85" spans="3:25" ht="15" customHeight="1" x14ac:dyDescent="0.25">
      <c r="C85" s="143"/>
      <c r="D85" s="140"/>
      <c r="E85" s="11" t="s">
        <v>0</v>
      </c>
      <c r="F85" s="44">
        <f>F84/$D$39</f>
        <v>6102.0888496616662</v>
      </c>
      <c r="G85" s="44">
        <f>G84/$D$39</f>
        <v>6326.5666372462501</v>
      </c>
      <c r="H85" s="44">
        <f>H84/$D$39</f>
        <v>6563.4010002942041</v>
      </c>
      <c r="I85" s="44">
        <v>7000</v>
      </c>
      <c r="J85" s="27">
        <f>J84/$D$39</f>
        <v>7210</v>
      </c>
      <c r="K85" s="27">
        <f>K84/$D$39</f>
        <v>7426.3</v>
      </c>
      <c r="L85" s="45">
        <f t="shared" ref="L85:Y85" si="62">L84/($D$39*(1+Y5))</f>
        <v>7573.3554455445537</v>
      </c>
      <c r="M85" s="45">
        <f t="shared" si="62"/>
        <v>7816.0334027777781</v>
      </c>
      <c r="N85" s="45">
        <f t="shared" si="62"/>
        <v>8066.519403677933</v>
      </c>
      <c r="O85" s="45">
        <f t="shared" si="62"/>
        <v>8325.0658124531892</v>
      </c>
      <c r="P85" s="45">
        <f t="shared" si="62"/>
        <v>8591.9331915909097</v>
      </c>
      <c r="Q85" s="45">
        <f t="shared" si="62"/>
        <v>8867.3905697133141</v>
      </c>
      <c r="R85" s="45">
        <f t="shared" si="62"/>
        <v>9133.4122868047143</v>
      </c>
      <c r="S85" s="45">
        <f t="shared" si="62"/>
        <v>9407.4146554088566</v>
      </c>
      <c r="T85" s="45">
        <f t="shared" si="62"/>
        <v>9689.6370950711225</v>
      </c>
      <c r="U85" s="45">
        <f t="shared" si="62"/>
        <v>9980.3262079232572</v>
      </c>
      <c r="V85" s="45">
        <f t="shared" si="62"/>
        <v>10279.735994160956</v>
      </c>
      <c r="W85" s="45">
        <f t="shared" si="62"/>
        <v>10588.128073985785</v>
      </c>
      <c r="X85" s="45">
        <f t="shared" si="62"/>
        <v>10905.771916205358</v>
      </c>
      <c r="Y85" s="45">
        <f t="shared" si="62"/>
        <v>11232.945073691519</v>
      </c>
    </row>
    <row r="86" spans="3:25" ht="15" customHeight="1" x14ac:dyDescent="0.25">
      <c r="C86" s="143"/>
      <c r="D86" s="141"/>
      <c r="E86" s="23" t="s">
        <v>22</v>
      </c>
      <c r="F86" s="131">
        <f>0</f>
        <v>0</v>
      </c>
      <c r="G86" s="131">
        <f>0</f>
        <v>0</v>
      </c>
      <c r="H86" s="131">
        <f>0</f>
        <v>0</v>
      </c>
      <c r="I86" s="131">
        <f>0</f>
        <v>0</v>
      </c>
      <c r="J86" s="132">
        <f>(J85-J$40)/J$40</f>
        <v>0</v>
      </c>
      <c r="K86" s="132">
        <f t="shared" ref="K86:R86" si="63">(K85-K$40)/K$40</f>
        <v>0</v>
      </c>
      <c r="L86" s="132">
        <f t="shared" si="63"/>
        <v>-9.9009900990099878E-3</v>
      </c>
      <c r="M86" s="132">
        <f t="shared" si="63"/>
        <v>-7.9365079365079066E-3</v>
      </c>
      <c r="N86" s="132">
        <f t="shared" si="63"/>
        <v>-5.9642147117295466E-3</v>
      </c>
      <c r="O86" s="132">
        <f t="shared" si="63"/>
        <v>-3.9840637450198188E-3</v>
      </c>
      <c r="P86" s="132">
        <f t="shared" si="63"/>
        <v>-1.9960079840319858E-3</v>
      </c>
      <c r="Q86" s="132">
        <f t="shared" si="63"/>
        <v>0</v>
      </c>
      <c r="R86" s="133">
        <f t="shared" si="63"/>
        <v>0</v>
      </c>
      <c r="S86" s="134">
        <f t="shared" ref="S86:Y86" si="64">(S85-S$40)/S$40</f>
        <v>0</v>
      </c>
      <c r="T86" s="132">
        <f t="shared" si="64"/>
        <v>0</v>
      </c>
      <c r="U86" s="132">
        <f t="shared" si="64"/>
        <v>0</v>
      </c>
      <c r="V86" s="132">
        <f t="shared" si="64"/>
        <v>0</v>
      </c>
      <c r="W86" s="132">
        <f t="shared" si="64"/>
        <v>0</v>
      </c>
      <c r="X86" s="132">
        <f t="shared" si="64"/>
        <v>0</v>
      </c>
      <c r="Y86" s="133">
        <f t="shared" si="64"/>
        <v>0</v>
      </c>
    </row>
    <row r="87" spans="3:25" ht="15" customHeight="1" x14ac:dyDescent="0.25">
      <c r="C87" s="143"/>
      <c r="D87" s="16"/>
      <c r="E87" s="16"/>
      <c r="F87" s="24"/>
      <c r="G87" s="24"/>
      <c r="H87" s="24"/>
      <c r="I87" s="24"/>
      <c r="J87" s="24"/>
      <c r="K87" s="24"/>
      <c r="L87" s="25" t="s">
        <v>40</v>
      </c>
      <c r="M87" s="24"/>
      <c r="N87" s="24"/>
      <c r="O87" s="24"/>
      <c r="P87" s="24"/>
      <c r="Q87" s="24"/>
      <c r="R87" s="47"/>
      <c r="S87" s="57"/>
      <c r="T87" s="37"/>
      <c r="U87" s="37"/>
      <c r="V87" s="37"/>
      <c r="W87" s="58"/>
      <c r="X87" s="58"/>
      <c r="Y87" s="59"/>
    </row>
    <row r="88" spans="3:25" ht="29.25" customHeight="1" x14ac:dyDescent="0.25">
      <c r="C88" s="143"/>
      <c r="D88" s="144"/>
      <c r="E88" s="1" t="s">
        <v>1</v>
      </c>
      <c r="F88" s="8">
        <f t="shared" ref="F88:J89" si="65">F41</f>
        <v>128.11983230944233</v>
      </c>
      <c r="G88" s="8">
        <f t="shared" si="65"/>
        <v>131.96342727872562</v>
      </c>
      <c r="H88" s="8">
        <f t="shared" si="65"/>
        <v>135.92233009708738</v>
      </c>
      <c r="I88" s="8">
        <f t="shared" si="65"/>
        <v>140</v>
      </c>
      <c r="J88" s="8">
        <f t="shared" si="65"/>
        <v>144.20000000000002</v>
      </c>
      <c r="K88" s="8">
        <f t="shared" ref="K88:Y88" si="66">K85*$D$41</f>
        <v>148.52600000000001</v>
      </c>
      <c r="L88" s="8">
        <f t="shared" si="66"/>
        <v>151.46710891089108</v>
      </c>
      <c r="M88" s="8">
        <f t="shared" si="66"/>
        <v>156.32066805555556</v>
      </c>
      <c r="N88" s="8">
        <f t="shared" si="66"/>
        <v>161.33038807355865</v>
      </c>
      <c r="O88" s="8">
        <f t="shared" si="66"/>
        <v>166.50131624906379</v>
      </c>
      <c r="P88" s="8">
        <f t="shared" si="66"/>
        <v>171.8386638318182</v>
      </c>
      <c r="Q88" s="8">
        <f t="shared" si="66"/>
        <v>177.34781139426627</v>
      </c>
      <c r="R88" s="43">
        <f t="shared" si="66"/>
        <v>182.66824573609429</v>
      </c>
      <c r="S88" s="61">
        <f t="shared" si="66"/>
        <v>188.14829310817714</v>
      </c>
      <c r="T88" s="8">
        <f t="shared" si="66"/>
        <v>193.79274190142246</v>
      </c>
      <c r="U88" s="8">
        <f t="shared" si="66"/>
        <v>199.60652415846516</v>
      </c>
      <c r="V88" s="8">
        <f t="shared" si="66"/>
        <v>205.59471988321911</v>
      </c>
      <c r="W88" s="8">
        <f t="shared" si="66"/>
        <v>211.76256147971571</v>
      </c>
      <c r="X88" s="8">
        <f t="shared" si="66"/>
        <v>218.11543832410717</v>
      </c>
      <c r="Y88" s="43">
        <f t="shared" si="66"/>
        <v>224.65890147383038</v>
      </c>
    </row>
    <row r="89" spans="3:25" ht="33" customHeight="1" x14ac:dyDescent="0.25">
      <c r="C89" s="143"/>
      <c r="D89" s="145"/>
      <c r="E89" s="1" t="s">
        <v>2</v>
      </c>
      <c r="F89" s="8">
        <f t="shared" si="65"/>
        <v>24.342768138794042</v>
      </c>
      <c r="G89" s="8">
        <f t="shared" si="65"/>
        <v>25.073051182957869</v>
      </c>
      <c r="H89" s="8">
        <f t="shared" si="65"/>
        <v>25.825242718446603</v>
      </c>
      <c r="I89" s="8">
        <f t="shared" si="65"/>
        <v>26.6</v>
      </c>
      <c r="J89" s="8">
        <f t="shared" si="65"/>
        <v>27.398000000000003</v>
      </c>
      <c r="K89" s="8">
        <f t="shared" ref="K89:Y89" si="67">K88*$D$42</f>
        <v>28.219940000000001</v>
      </c>
      <c r="L89" s="8">
        <f t="shared" si="67"/>
        <v>28.778750693069306</v>
      </c>
      <c r="M89" s="8">
        <f t="shared" si="67"/>
        <v>29.700926930555557</v>
      </c>
      <c r="N89" s="8">
        <f t="shared" si="67"/>
        <v>30.652773733976144</v>
      </c>
      <c r="O89" s="8">
        <f t="shared" si="67"/>
        <v>31.63525008732212</v>
      </c>
      <c r="P89" s="8">
        <f t="shared" si="67"/>
        <v>32.649346128045458</v>
      </c>
      <c r="Q89" s="8">
        <f t="shared" si="67"/>
        <v>33.696084164910594</v>
      </c>
      <c r="R89" s="43">
        <f t="shared" si="67"/>
        <v>34.706966689857914</v>
      </c>
      <c r="S89" s="61">
        <f t="shared" si="67"/>
        <v>35.748175690553659</v>
      </c>
      <c r="T89" s="8">
        <f t="shared" si="67"/>
        <v>36.820620961270265</v>
      </c>
      <c r="U89" s="8">
        <f t="shared" si="67"/>
        <v>37.925239590108383</v>
      </c>
      <c r="V89" s="8">
        <f t="shared" si="67"/>
        <v>39.062996777811634</v>
      </c>
      <c r="W89" s="8">
        <f t="shared" si="67"/>
        <v>40.234886681145987</v>
      </c>
      <c r="X89" s="8">
        <f t="shared" si="67"/>
        <v>41.441933281580361</v>
      </c>
      <c r="Y89" s="43">
        <f t="shared" si="67"/>
        <v>42.685191280027773</v>
      </c>
    </row>
    <row r="90" spans="3:25" ht="105" x14ac:dyDescent="0.25">
      <c r="C90" s="143"/>
      <c r="D90" s="22">
        <f>SUM(F90:P90)</f>
        <v>-0.90115125738438451</v>
      </c>
      <c r="E90" s="21" t="s">
        <v>20</v>
      </c>
      <c r="F90" s="10">
        <f>F89-F$42</f>
        <v>0</v>
      </c>
      <c r="G90" s="10">
        <f>G89-G$42</f>
        <v>0</v>
      </c>
      <c r="H90" s="10">
        <f>H89-H$42</f>
        <v>0</v>
      </c>
      <c r="I90" s="10">
        <f>I89-I$42</f>
        <v>0</v>
      </c>
      <c r="J90" s="10">
        <f>J89-J$42</f>
        <v>0</v>
      </c>
      <c r="K90" s="10">
        <f t="shared" ref="K90:R90" si="68">K89-K$42</f>
        <v>0</v>
      </c>
      <c r="L90" s="10">
        <f t="shared" si="68"/>
        <v>-0.2877875069306981</v>
      </c>
      <c r="M90" s="10">
        <f t="shared" si="68"/>
        <v>-0.23760741544444386</v>
      </c>
      <c r="N90" s="10">
        <f t="shared" si="68"/>
        <v>-0.18391664240386163</v>
      </c>
      <c r="O90" s="10">
        <f t="shared" si="68"/>
        <v>-0.12654100034928817</v>
      </c>
      <c r="P90" s="10">
        <f t="shared" si="68"/>
        <v>-6.529869225609275E-2</v>
      </c>
      <c r="Q90" s="10">
        <f t="shared" si="68"/>
        <v>0</v>
      </c>
      <c r="R90" s="48">
        <f t="shared" si="68"/>
        <v>0</v>
      </c>
      <c r="S90" s="63">
        <f t="shared" ref="S90:Y90" si="69">S89-S$42</f>
        <v>0</v>
      </c>
      <c r="T90" s="10">
        <f t="shared" si="69"/>
        <v>0</v>
      </c>
      <c r="U90" s="10">
        <f t="shared" si="69"/>
        <v>0</v>
      </c>
      <c r="V90" s="10">
        <f t="shared" si="69"/>
        <v>0</v>
      </c>
      <c r="W90" s="10">
        <f t="shared" si="69"/>
        <v>0</v>
      </c>
      <c r="X90" s="10">
        <f t="shared" si="69"/>
        <v>0</v>
      </c>
      <c r="Y90" s="48">
        <f t="shared" si="69"/>
        <v>0</v>
      </c>
    </row>
    <row r="91" spans="3:25" ht="15" customHeight="1" x14ac:dyDescent="0.25">
      <c r="C91" s="40"/>
      <c r="D91" s="16"/>
      <c r="E91" s="16"/>
      <c r="F91" s="16"/>
      <c r="G91" s="16"/>
      <c r="H91" s="16"/>
      <c r="I91" s="16"/>
      <c r="J91" s="16"/>
      <c r="K91" s="16"/>
      <c r="L91" s="16"/>
      <c r="M91" s="16"/>
      <c r="N91" s="16"/>
      <c r="O91" s="16"/>
      <c r="P91" s="16"/>
      <c r="Q91" s="16"/>
      <c r="R91" s="49"/>
      <c r="S91" s="57"/>
      <c r="T91" s="37"/>
      <c r="U91" s="37"/>
      <c r="V91" s="37"/>
      <c r="W91" s="58"/>
      <c r="X91" s="58"/>
      <c r="Y91" s="59"/>
    </row>
    <row r="92" spans="3:25" x14ac:dyDescent="0.25">
      <c r="C92" s="142" t="s">
        <v>41</v>
      </c>
      <c r="D92" s="139" t="s">
        <v>19</v>
      </c>
      <c r="E92" s="1"/>
      <c r="F92" s="1">
        <v>2016</v>
      </c>
      <c r="G92" s="1">
        <v>2017</v>
      </c>
      <c r="H92" s="1">
        <v>2018</v>
      </c>
      <c r="I92" s="14">
        <v>2019</v>
      </c>
      <c r="J92" s="1">
        <v>2020</v>
      </c>
      <c r="K92" s="1">
        <v>2021</v>
      </c>
      <c r="L92" s="1">
        <v>2022</v>
      </c>
      <c r="M92" s="1">
        <v>2023</v>
      </c>
      <c r="N92" s="1">
        <v>2024</v>
      </c>
      <c r="O92" s="1">
        <v>2025</v>
      </c>
      <c r="P92" s="1">
        <v>2026</v>
      </c>
      <c r="Q92" s="1">
        <v>2027</v>
      </c>
      <c r="R92" s="42">
        <v>2028</v>
      </c>
      <c r="S92" s="60">
        <v>2029</v>
      </c>
      <c r="T92" s="1">
        <v>2030</v>
      </c>
      <c r="U92" s="1">
        <v>2031</v>
      </c>
      <c r="V92" s="1">
        <v>2032</v>
      </c>
      <c r="W92" s="1">
        <v>2033</v>
      </c>
      <c r="X92" s="1">
        <v>2034</v>
      </c>
      <c r="Y92" s="42">
        <v>2035</v>
      </c>
    </row>
    <row r="93" spans="3:25" x14ac:dyDescent="0.25">
      <c r="C93" s="143"/>
      <c r="D93" s="140"/>
      <c r="E93" s="1" t="s">
        <v>6</v>
      </c>
      <c r="F93" s="8">
        <f>F45</f>
        <v>296.3</v>
      </c>
      <c r="G93" s="8">
        <f t="shared" ref="G93:R93" si="70">G45</f>
        <v>307.2</v>
      </c>
      <c r="H93" s="8">
        <f t="shared" si="70"/>
        <v>318.7</v>
      </c>
      <c r="I93" s="8">
        <f t="shared" si="70"/>
        <v>339.9</v>
      </c>
      <c r="J93" s="8">
        <f t="shared" si="70"/>
        <v>350.09699999999998</v>
      </c>
      <c r="K93" s="8">
        <f t="shared" si="70"/>
        <v>360.59990999999991</v>
      </c>
      <c r="L93" s="8">
        <f t="shared" si="70"/>
        <v>371.41790729999991</v>
      </c>
      <c r="M93" s="8">
        <f t="shared" si="70"/>
        <v>382.56044451899993</v>
      </c>
      <c r="N93" s="8">
        <f t="shared" si="70"/>
        <v>394.03725785456993</v>
      </c>
      <c r="O93" s="8">
        <f t="shared" si="70"/>
        <v>405.85837559020712</v>
      </c>
      <c r="P93" s="8">
        <f t="shared" si="70"/>
        <v>418.03412685791335</v>
      </c>
      <c r="Q93" s="8">
        <f t="shared" si="70"/>
        <v>430.57515066365073</v>
      </c>
      <c r="R93" s="43">
        <f t="shared" si="70"/>
        <v>443.49240518356027</v>
      </c>
      <c r="S93" s="61">
        <f t="shared" ref="S93:Y93" si="71">S45</f>
        <v>456.7971773390671</v>
      </c>
      <c r="T93" s="8">
        <f t="shared" si="71"/>
        <v>470.50109265923913</v>
      </c>
      <c r="U93" s="8">
        <f t="shared" si="71"/>
        <v>484.61612543901634</v>
      </c>
      <c r="V93" s="8">
        <f t="shared" si="71"/>
        <v>499.15460920218686</v>
      </c>
      <c r="W93" s="8">
        <f t="shared" si="71"/>
        <v>514.12924747825252</v>
      </c>
      <c r="X93" s="8">
        <f t="shared" si="71"/>
        <v>529.55312490260008</v>
      </c>
      <c r="Y93" s="43">
        <f t="shared" si="71"/>
        <v>545.43971864967807</v>
      </c>
    </row>
    <row r="94" spans="3:25" x14ac:dyDescent="0.25">
      <c r="C94" s="143"/>
      <c r="D94" s="140"/>
      <c r="E94" s="1" t="s">
        <v>5</v>
      </c>
      <c r="F94" s="8">
        <f t="shared" ref="F94:P94" si="72">F93/0.144</f>
        <v>2057.6388888888891</v>
      </c>
      <c r="G94" s="8">
        <f t="shared" si="72"/>
        <v>2133.3333333333335</v>
      </c>
      <c r="H94" s="8">
        <f t="shared" si="72"/>
        <v>2213.1944444444443</v>
      </c>
      <c r="I94" s="8">
        <f t="shared" si="72"/>
        <v>2360.4166666666665</v>
      </c>
      <c r="J94" s="8">
        <f t="shared" si="72"/>
        <v>2431.2291666666665</v>
      </c>
      <c r="K94" s="8">
        <f t="shared" si="72"/>
        <v>2504.1660416666664</v>
      </c>
      <c r="L94" s="8">
        <f t="shared" si="72"/>
        <v>2579.2910229166664</v>
      </c>
      <c r="M94" s="8">
        <f t="shared" si="72"/>
        <v>2656.6697536041665</v>
      </c>
      <c r="N94" s="8">
        <f t="shared" si="72"/>
        <v>2736.3698462122916</v>
      </c>
      <c r="O94" s="8">
        <f t="shared" si="72"/>
        <v>2818.4609415986606</v>
      </c>
      <c r="P94" s="8">
        <f t="shared" si="72"/>
        <v>2903.0147698466208</v>
      </c>
      <c r="Q94" s="8">
        <f t="shared" ref="Q94:Y94" si="73">Q93/0.144</f>
        <v>2990.1052129420191</v>
      </c>
      <c r="R94" s="43">
        <f t="shared" ref="R94:X94" si="74">R93/0.144</f>
        <v>3079.8083693302797</v>
      </c>
      <c r="S94" s="61">
        <f t="shared" si="73"/>
        <v>3172.2026204101885</v>
      </c>
      <c r="T94" s="8">
        <f t="shared" si="74"/>
        <v>3267.3686990224942</v>
      </c>
      <c r="U94" s="8">
        <f t="shared" si="73"/>
        <v>3365.3897599931693</v>
      </c>
      <c r="V94" s="8">
        <f t="shared" si="74"/>
        <v>3466.3514527929647</v>
      </c>
      <c r="W94" s="8">
        <f t="shared" si="73"/>
        <v>3570.3419963767537</v>
      </c>
      <c r="X94" s="8">
        <f t="shared" si="74"/>
        <v>3677.4522562680563</v>
      </c>
      <c r="Y94" s="43">
        <f t="shared" si="73"/>
        <v>3787.7758239560981</v>
      </c>
    </row>
    <row r="95" spans="3:25" x14ac:dyDescent="0.25">
      <c r="C95" s="143"/>
      <c r="D95" s="140"/>
      <c r="E95" s="11" t="s">
        <v>0</v>
      </c>
      <c r="F95" s="44">
        <f>F94/$D$39</f>
        <v>6102.0888496616662</v>
      </c>
      <c r="G95" s="44">
        <f>G94/$D$39</f>
        <v>6326.5666372462501</v>
      </c>
      <c r="H95" s="44">
        <f>H94/$D$39</f>
        <v>6563.4010002942041</v>
      </c>
      <c r="I95" s="44">
        <v>7000</v>
      </c>
      <c r="J95" s="27">
        <f>J94/$D$39</f>
        <v>7210</v>
      </c>
      <c r="K95" s="27">
        <f>K94/$D$39</f>
        <v>7426.3</v>
      </c>
      <c r="L95" s="45">
        <f t="shared" ref="L95:Y95" si="75">L94/($D$39*(1+Y8))</f>
        <v>7573.3554455445537</v>
      </c>
      <c r="M95" s="45">
        <f t="shared" si="75"/>
        <v>7807.3198761303111</v>
      </c>
      <c r="N95" s="45">
        <f t="shared" si="75"/>
        <v>8048.5182445821965</v>
      </c>
      <c r="O95" s="45">
        <f t="shared" si="75"/>
        <v>8297.1744143968263</v>
      </c>
      <c r="P95" s="45">
        <f t="shared" si="75"/>
        <v>8553.519183282755</v>
      </c>
      <c r="Q95" s="45">
        <f t="shared" si="75"/>
        <v>8817.7904981611573</v>
      </c>
      <c r="R95" s="45">
        <f t="shared" si="75"/>
        <v>9090.2336768397254</v>
      </c>
      <c r="S95" s="45">
        <f t="shared" si="75"/>
        <v>9371.1016365671585</v>
      </c>
      <c r="T95" s="45">
        <f t="shared" si="75"/>
        <v>9660.655129682078</v>
      </c>
      <c r="U95" s="45">
        <f t="shared" si="75"/>
        <v>9956.4307740655004</v>
      </c>
      <c r="V95" s="45">
        <f t="shared" si="75"/>
        <v>10261.265715872385</v>
      </c>
      <c r="W95" s="45">
        <f t="shared" si="75"/>
        <v>10575.437548927071</v>
      </c>
      <c r="X95" s="45">
        <f t="shared" si="75"/>
        <v>10899.232376779291</v>
      </c>
      <c r="Y95" s="45">
        <f t="shared" si="75"/>
        <v>11232.945073691519</v>
      </c>
    </row>
    <row r="96" spans="3:25" ht="30" x14ac:dyDescent="0.25">
      <c r="C96" s="143"/>
      <c r="D96" s="141"/>
      <c r="E96" s="23" t="s">
        <v>22</v>
      </c>
      <c r="F96" s="46">
        <f>0</f>
        <v>0</v>
      </c>
      <c r="G96" s="46">
        <f>0</f>
        <v>0</v>
      </c>
      <c r="H96" s="46">
        <f>0</f>
        <v>0</v>
      </c>
      <c r="I96" s="46">
        <f>0</f>
        <v>0</v>
      </c>
      <c r="J96" s="2">
        <f t="shared" ref="J96:P96" si="76">(J95-J$40)/J$40</f>
        <v>0</v>
      </c>
      <c r="K96" s="2">
        <f t="shared" si="76"/>
        <v>0</v>
      </c>
      <c r="L96" s="2">
        <f t="shared" si="76"/>
        <v>-9.9009900990099878E-3</v>
      </c>
      <c r="M96" s="2">
        <f t="shared" si="76"/>
        <v>-9.0424873033568571E-3</v>
      </c>
      <c r="N96" s="2">
        <f t="shared" si="76"/>
        <v>-8.1824944210265767E-3</v>
      </c>
      <c r="O96" s="2">
        <f t="shared" si="76"/>
        <v>-7.3210075691771117E-3</v>
      </c>
      <c r="P96" s="2">
        <f t="shared" si="76"/>
        <v>-6.4580228514653677E-3</v>
      </c>
      <c r="Q96" s="2">
        <f t="shared" ref="Q96:Y96" si="77">(Q95-Q$40)/Q$40</f>
        <v>-5.5935363579863598E-3</v>
      </c>
      <c r="R96" s="35">
        <f t="shared" ref="R96:X96" si="78">(R95-R$40)/R$40</f>
        <v>-4.727544165215254E-3</v>
      </c>
      <c r="S96" s="62">
        <f t="shared" si="77"/>
        <v>-3.8600423359482355E-3</v>
      </c>
      <c r="T96" s="2">
        <f t="shared" si="78"/>
        <v>-2.9910269192420938E-3</v>
      </c>
      <c r="U96" s="2">
        <f t="shared" si="77"/>
        <v>-2.3942537909018026E-3</v>
      </c>
      <c r="V96" s="2">
        <f t="shared" si="78"/>
        <v>-1.796765821521294E-3</v>
      </c>
      <c r="W96" s="2">
        <f t="shared" si="77"/>
        <v>-1.198561725928964E-3</v>
      </c>
      <c r="X96" s="2">
        <f t="shared" si="78"/>
        <v>-5.9964021587040372E-4</v>
      </c>
      <c r="Y96" s="35">
        <f t="shared" si="77"/>
        <v>0</v>
      </c>
    </row>
    <row r="97" spans="3:25" x14ac:dyDescent="0.25">
      <c r="C97" s="143"/>
      <c r="D97" s="16"/>
      <c r="E97" s="16"/>
      <c r="F97" s="24"/>
      <c r="G97" s="24"/>
      <c r="H97" s="24"/>
      <c r="I97" s="24"/>
      <c r="J97" s="24"/>
      <c r="K97" s="24"/>
      <c r="L97" s="25" t="s">
        <v>40</v>
      </c>
      <c r="M97" s="24"/>
      <c r="N97" s="24"/>
      <c r="O97" s="24"/>
      <c r="P97" s="24"/>
      <c r="Q97" s="24"/>
      <c r="R97" s="47"/>
      <c r="S97" s="57"/>
      <c r="T97" s="37"/>
      <c r="U97" s="37"/>
      <c r="V97" s="37"/>
      <c r="W97" s="58"/>
      <c r="X97" s="58"/>
      <c r="Y97" s="59"/>
    </row>
    <row r="98" spans="3:25" x14ac:dyDescent="0.25">
      <c r="C98" s="143"/>
      <c r="D98" s="144"/>
      <c r="E98" s="1" t="s">
        <v>1</v>
      </c>
      <c r="F98" s="8">
        <f t="shared" ref="F98:J99" si="79">F41</f>
        <v>128.11983230944233</v>
      </c>
      <c r="G98" s="8">
        <f t="shared" si="79"/>
        <v>131.96342727872562</v>
      </c>
      <c r="H98" s="8">
        <f t="shared" si="79"/>
        <v>135.92233009708738</v>
      </c>
      <c r="I98" s="8">
        <f t="shared" si="79"/>
        <v>140</v>
      </c>
      <c r="J98" s="8">
        <f t="shared" si="79"/>
        <v>144.20000000000002</v>
      </c>
      <c r="K98" s="8">
        <f t="shared" ref="K98:Y98" si="80">K95*$D$41</f>
        <v>148.52600000000001</v>
      </c>
      <c r="L98" s="8">
        <f t="shared" si="80"/>
        <v>151.46710891089108</v>
      </c>
      <c r="M98" s="8">
        <f t="shared" si="80"/>
        <v>156.14639752260624</v>
      </c>
      <c r="N98" s="8">
        <f t="shared" si="80"/>
        <v>160.97036489164392</v>
      </c>
      <c r="O98" s="8">
        <f t="shared" si="80"/>
        <v>165.94348828793653</v>
      </c>
      <c r="P98" s="8">
        <f t="shared" si="80"/>
        <v>171.0703836656551</v>
      </c>
      <c r="Q98" s="8">
        <f t="shared" si="80"/>
        <v>176.35580996322315</v>
      </c>
      <c r="R98" s="43">
        <f t="shared" si="80"/>
        <v>181.80467353679452</v>
      </c>
      <c r="S98" s="61">
        <f t="shared" si="80"/>
        <v>187.42203273134317</v>
      </c>
      <c r="T98" s="8">
        <f t="shared" si="80"/>
        <v>193.21310259364157</v>
      </c>
      <c r="U98" s="8">
        <f t="shared" si="80"/>
        <v>199.12861548131002</v>
      </c>
      <c r="V98" s="8">
        <f t="shared" si="80"/>
        <v>205.2253143174477</v>
      </c>
      <c r="W98" s="8">
        <f t="shared" si="80"/>
        <v>211.50875097854143</v>
      </c>
      <c r="X98" s="8">
        <f t="shared" si="80"/>
        <v>217.98464753558582</v>
      </c>
      <c r="Y98" s="43">
        <f t="shared" si="80"/>
        <v>224.65890147383038</v>
      </c>
    </row>
    <row r="99" spans="3:25" x14ac:dyDescent="0.25">
      <c r="C99" s="143"/>
      <c r="D99" s="145"/>
      <c r="E99" s="1" t="s">
        <v>2</v>
      </c>
      <c r="F99" s="8">
        <f t="shared" si="79"/>
        <v>24.342768138794042</v>
      </c>
      <c r="G99" s="8">
        <f t="shared" si="79"/>
        <v>25.073051182957869</v>
      </c>
      <c r="H99" s="8">
        <f t="shared" si="79"/>
        <v>25.825242718446603</v>
      </c>
      <c r="I99" s="8">
        <f t="shared" si="79"/>
        <v>26.6</v>
      </c>
      <c r="J99" s="8">
        <f t="shared" si="79"/>
        <v>27.398000000000003</v>
      </c>
      <c r="K99" s="8">
        <f t="shared" ref="K99:Y99" si="81">K98*$D$42</f>
        <v>28.219940000000001</v>
      </c>
      <c r="L99" s="8">
        <f t="shared" si="81"/>
        <v>28.778750693069306</v>
      </c>
      <c r="M99" s="8">
        <f t="shared" si="81"/>
        <v>29.667815529295186</v>
      </c>
      <c r="N99" s="8">
        <f t="shared" si="81"/>
        <v>30.584369329412347</v>
      </c>
      <c r="O99" s="8">
        <f t="shared" si="81"/>
        <v>31.529262774707941</v>
      </c>
      <c r="P99" s="8">
        <f t="shared" si="81"/>
        <v>32.503372896474467</v>
      </c>
      <c r="Q99" s="8">
        <f t="shared" si="81"/>
        <v>33.507603893012401</v>
      </c>
      <c r="R99" s="43">
        <f t="shared" si="81"/>
        <v>34.542887971990957</v>
      </c>
      <c r="S99" s="61">
        <f t="shared" si="81"/>
        <v>35.610186218955199</v>
      </c>
      <c r="T99" s="8">
        <f t="shared" si="81"/>
        <v>36.710489492791901</v>
      </c>
      <c r="U99" s="8">
        <f t="shared" si="81"/>
        <v>37.834436941448907</v>
      </c>
      <c r="V99" s="8">
        <f t="shared" si="81"/>
        <v>38.992809720315066</v>
      </c>
      <c r="W99" s="8">
        <f t="shared" si="81"/>
        <v>40.186662685922869</v>
      </c>
      <c r="X99" s="8">
        <f t="shared" si="81"/>
        <v>41.417083031761308</v>
      </c>
      <c r="Y99" s="43">
        <f t="shared" si="81"/>
        <v>42.685191280027773</v>
      </c>
    </row>
    <row r="100" spans="3:25" ht="105" x14ac:dyDescent="0.25">
      <c r="C100" s="143"/>
      <c r="D100" s="22">
        <f>SUM(F100:P100)</f>
        <v>-1.2546276073937221</v>
      </c>
      <c r="E100" s="21" t="s">
        <v>20</v>
      </c>
      <c r="F100" s="10">
        <f t="shared" ref="F100:P100" si="82">F99-F$42</f>
        <v>0</v>
      </c>
      <c r="G100" s="10">
        <f t="shared" si="82"/>
        <v>0</v>
      </c>
      <c r="H100" s="10">
        <f t="shared" si="82"/>
        <v>0</v>
      </c>
      <c r="I100" s="10">
        <f t="shared" si="82"/>
        <v>0</v>
      </c>
      <c r="J100" s="10">
        <f t="shared" si="82"/>
        <v>0</v>
      </c>
      <c r="K100" s="10">
        <f t="shared" si="82"/>
        <v>0</v>
      </c>
      <c r="L100" s="10">
        <f t="shared" si="82"/>
        <v>-0.2877875069306981</v>
      </c>
      <c r="M100" s="10">
        <f t="shared" si="82"/>
        <v>-0.27071881670481446</v>
      </c>
      <c r="N100" s="10">
        <f t="shared" si="82"/>
        <v>-0.25232104696765845</v>
      </c>
      <c r="O100" s="10">
        <f t="shared" si="82"/>
        <v>-0.23252831296346699</v>
      </c>
      <c r="P100" s="10">
        <f t="shared" si="82"/>
        <v>-0.21127192382708415</v>
      </c>
      <c r="Q100" s="10">
        <f t="shared" ref="Q100:Y100" si="83">Q99-Q$42</f>
        <v>-0.18848027189819305</v>
      </c>
      <c r="R100" s="48">
        <f t="shared" ref="R100:X100" si="84">R99-R$42</f>
        <v>-0.16407871786695694</v>
      </c>
      <c r="S100" s="63">
        <f t="shared" si="83"/>
        <v>-0.13798947159845909</v>
      </c>
      <c r="T100" s="10">
        <f t="shared" si="84"/>
        <v>-0.11013146847836452</v>
      </c>
      <c r="U100" s="10">
        <f t="shared" si="83"/>
        <v>-9.0802648659476404E-2</v>
      </c>
      <c r="V100" s="10">
        <f t="shared" si="84"/>
        <v>-7.0187057496568173E-2</v>
      </c>
      <c r="W100" s="10">
        <f t="shared" si="83"/>
        <v>-4.8223995223118266E-2</v>
      </c>
      <c r="X100" s="10">
        <f t="shared" si="84"/>
        <v>-2.4850249819053261E-2</v>
      </c>
      <c r="Y100" s="48">
        <f t="shared" si="83"/>
        <v>0</v>
      </c>
    </row>
    <row r="101" spans="3:25" x14ac:dyDescent="0.25">
      <c r="C101" s="40"/>
      <c r="D101" s="16"/>
      <c r="E101" s="16"/>
      <c r="F101" s="16"/>
      <c r="G101" s="16"/>
      <c r="H101" s="16"/>
      <c r="I101" s="16"/>
      <c r="J101" s="16"/>
      <c r="K101" s="16"/>
      <c r="L101" s="16"/>
      <c r="M101" s="16"/>
      <c r="N101" s="16"/>
      <c r="O101" s="16"/>
      <c r="P101" s="16"/>
      <c r="Q101" s="16"/>
      <c r="R101" s="49"/>
      <c r="S101" s="57"/>
      <c r="T101" s="37"/>
      <c r="U101" s="37"/>
      <c r="V101" s="37"/>
      <c r="W101" s="58"/>
      <c r="X101" s="58"/>
      <c r="Y101" s="59"/>
    </row>
    <row r="102" spans="3:25" x14ac:dyDescent="0.25">
      <c r="C102" s="142" t="s">
        <v>32</v>
      </c>
      <c r="D102" s="139" t="s">
        <v>19</v>
      </c>
      <c r="E102" s="1"/>
      <c r="F102" s="1">
        <v>2016</v>
      </c>
      <c r="G102" s="1">
        <v>2017</v>
      </c>
      <c r="H102" s="1">
        <v>2018</v>
      </c>
      <c r="I102" s="14">
        <v>2019</v>
      </c>
      <c r="J102" s="1">
        <v>2020</v>
      </c>
      <c r="K102" s="1">
        <v>2021</v>
      </c>
      <c r="L102" s="1">
        <v>2022</v>
      </c>
      <c r="M102" s="1">
        <v>2023</v>
      </c>
      <c r="N102" s="1">
        <v>2024</v>
      </c>
      <c r="O102" s="1">
        <v>2025</v>
      </c>
      <c r="P102" s="1">
        <v>2026</v>
      </c>
      <c r="Q102" s="1">
        <v>2027</v>
      </c>
      <c r="R102" s="42">
        <v>2028</v>
      </c>
      <c r="S102" s="60">
        <v>2029</v>
      </c>
      <c r="T102" s="1">
        <v>2030</v>
      </c>
      <c r="U102" s="1">
        <v>2031</v>
      </c>
      <c r="V102" s="1">
        <v>2032</v>
      </c>
      <c r="W102" s="1">
        <v>2033</v>
      </c>
      <c r="X102" s="1">
        <v>2034</v>
      </c>
      <c r="Y102" s="42">
        <v>2035</v>
      </c>
    </row>
    <row r="103" spans="3:25" x14ac:dyDescent="0.25">
      <c r="C103" s="143"/>
      <c r="D103" s="140"/>
      <c r="E103" s="1" t="s">
        <v>6</v>
      </c>
      <c r="F103" s="8">
        <f>F45</f>
        <v>296.3</v>
      </c>
      <c r="G103" s="8">
        <f t="shared" ref="G103:R103" si="85">G45</f>
        <v>307.2</v>
      </c>
      <c r="H103" s="8">
        <f t="shared" si="85"/>
        <v>318.7</v>
      </c>
      <c r="I103" s="8">
        <f t="shared" si="85"/>
        <v>339.9</v>
      </c>
      <c r="J103" s="8">
        <f t="shared" si="85"/>
        <v>350.09699999999998</v>
      </c>
      <c r="K103" s="8">
        <f t="shared" si="85"/>
        <v>360.59990999999991</v>
      </c>
      <c r="L103" s="8">
        <f t="shared" si="85"/>
        <v>371.41790729999991</v>
      </c>
      <c r="M103" s="8">
        <f t="shared" si="85"/>
        <v>382.56044451899993</v>
      </c>
      <c r="N103" s="8">
        <f t="shared" si="85"/>
        <v>394.03725785456993</v>
      </c>
      <c r="O103" s="8">
        <f t="shared" si="85"/>
        <v>405.85837559020712</v>
      </c>
      <c r="P103" s="8">
        <f t="shared" si="85"/>
        <v>418.03412685791335</v>
      </c>
      <c r="Q103" s="8">
        <f t="shared" si="85"/>
        <v>430.57515066365073</v>
      </c>
      <c r="R103" s="43">
        <f t="shared" si="85"/>
        <v>443.49240518356027</v>
      </c>
      <c r="S103" s="61">
        <f t="shared" ref="S103:Y103" si="86">S45</f>
        <v>456.7971773390671</v>
      </c>
      <c r="T103" s="8">
        <f t="shared" si="86"/>
        <v>470.50109265923913</v>
      </c>
      <c r="U103" s="8">
        <f t="shared" si="86"/>
        <v>484.61612543901634</v>
      </c>
      <c r="V103" s="8">
        <f t="shared" si="86"/>
        <v>499.15460920218686</v>
      </c>
      <c r="W103" s="8">
        <f t="shared" si="86"/>
        <v>514.12924747825252</v>
      </c>
      <c r="X103" s="8">
        <f t="shared" si="86"/>
        <v>529.55312490260008</v>
      </c>
      <c r="Y103" s="43">
        <f t="shared" si="86"/>
        <v>545.43971864967807</v>
      </c>
    </row>
    <row r="104" spans="3:25" x14ac:dyDescent="0.25">
      <c r="C104" s="143"/>
      <c r="D104" s="140"/>
      <c r="E104" s="1" t="s">
        <v>5</v>
      </c>
      <c r="F104" s="8">
        <f t="shared" ref="F104:P104" si="87">F103/0.144</f>
        <v>2057.6388888888891</v>
      </c>
      <c r="G104" s="8">
        <f t="shared" si="87"/>
        <v>2133.3333333333335</v>
      </c>
      <c r="H104" s="8">
        <f t="shared" si="87"/>
        <v>2213.1944444444443</v>
      </c>
      <c r="I104" s="8">
        <f t="shared" si="87"/>
        <v>2360.4166666666665</v>
      </c>
      <c r="J104" s="8">
        <f t="shared" si="87"/>
        <v>2431.2291666666665</v>
      </c>
      <c r="K104" s="8">
        <f t="shared" si="87"/>
        <v>2504.1660416666664</v>
      </c>
      <c r="L104" s="8">
        <f t="shared" si="87"/>
        <v>2579.2910229166664</v>
      </c>
      <c r="M104" s="8">
        <f t="shared" si="87"/>
        <v>2656.6697536041665</v>
      </c>
      <c r="N104" s="8">
        <f t="shared" si="87"/>
        <v>2736.3698462122916</v>
      </c>
      <c r="O104" s="8">
        <f t="shared" si="87"/>
        <v>2818.4609415986606</v>
      </c>
      <c r="P104" s="8">
        <f t="shared" si="87"/>
        <v>2903.0147698466208</v>
      </c>
      <c r="Q104" s="8">
        <f t="shared" ref="Q104:Y104" si="88">Q103/0.144</f>
        <v>2990.1052129420191</v>
      </c>
      <c r="R104" s="43">
        <f t="shared" ref="R104:X104" si="89">R103/0.144</f>
        <v>3079.8083693302797</v>
      </c>
      <c r="S104" s="61">
        <f t="shared" si="88"/>
        <v>3172.2026204101885</v>
      </c>
      <c r="T104" s="8">
        <f t="shared" si="89"/>
        <v>3267.3686990224942</v>
      </c>
      <c r="U104" s="8">
        <f t="shared" si="88"/>
        <v>3365.3897599931693</v>
      </c>
      <c r="V104" s="8">
        <f t="shared" si="89"/>
        <v>3466.3514527929647</v>
      </c>
      <c r="W104" s="8">
        <f t="shared" si="88"/>
        <v>3570.3419963767537</v>
      </c>
      <c r="X104" s="8">
        <f t="shared" si="89"/>
        <v>3677.4522562680563</v>
      </c>
      <c r="Y104" s="43">
        <f t="shared" si="88"/>
        <v>3787.7758239560981</v>
      </c>
    </row>
    <row r="105" spans="3:25" x14ac:dyDescent="0.25">
      <c r="C105" s="143"/>
      <c r="D105" s="140"/>
      <c r="E105" s="11" t="s">
        <v>0</v>
      </c>
      <c r="F105" s="44">
        <f>F104/$D$39</f>
        <v>6102.0888496616662</v>
      </c>
      <c r="G105" s="44">
        <f>G104/$D$39</f>
        <v>6326.5666372462501</v>
      </c>
      <c r="H105" s="44">
        <f>H104/$D$39</f>
        <v>6563.4010002942041</v>
      </c>
      <c r="I105" s="44">
        <v>7000</v>
      </c>
      <c r="J105" s="27">
        <f>J104/$D$39</f>
        <v>7210</v>
      </c>
      <c r="K105" s="27">
        <f>K104/$D$39</f>
        <v>7426.3</v>
      </c>
      <c r="L105" s="45">
        <f t="shared" ref="L105:Y105" si="90">L104/($D$39*(1+Y11))</f>
        <v>7573.3554455445537</v>
      </c>
      <c r="M105" s="45">
        <f t="shared" si="90"/>
        <v>7802.4874176776448</v>
      </c>
      <c r="N105" s="45">
        <f t="shared" si="90"/>
        <v>8038.552273501733</v>
      </c>
      <c r="O105" s="45">
        <f t="shared" si="90"/>
        <v>8281.7597975754288</v>
      </c>
      <c r="P105" s="45">
        <f t="shared" si="90"/>
        <v>8532.3261228682786</v>
      </c>
      <c r="Q105" s="45">
        <f t="shared" si="90"/>
        <v>8790.4739228880426</v>
      </c>
      <c r="R105" s="45">
        <f t="shared" si="90"/>
        <v>9056.4326096229197</v>
      </c>
      <c r="S105" s="45">
        <f t="shared" si="90"/>
        <v>9330.4385374746889</v>
      </c>
      <c r="T105" s="45">
        <f t="shared" si="90"/>
        <v>9612.7352133642089</v>
      </c>
      <c r="U105" s="45">
        <f t="shared" si="90"/>
        <v>9916.8583147091176</v>
      </c>
      <c r="V105" s="45">
        <f t="shared" si="90"/>
        <v>10230.62897508057</v>
      </c>
      <c r="W105" s="45">
        <f t="shared" si="90"/>
        <v>10554.35414073543</v>
      </c>
      <c r="X105" s="45">
        <f t="shared" si="90"/>
        <v>10888.350555316851</v>
      </c>
      <c r="Y105" s="45">
        <f t="shared" si="90"/>
        <v>11232.945073691519</v>
      </c>
    </row>
    <row r="106" spans="3:25" ht="30" x14ac:dyDescent="0.25">
      <c r="C106" s="143"/>
      <c r="D106" s="141"/>
      <c r="E106" s="23" t="s">
        <v>22</v>
      </c>
      <c r="F106" s="46">
        <f>0</f>
        <v>0</v>
      </c>
      <c r="G106" s="46">
        <f>0</f>
        <v>0</v>
      </c>
      <c r="H106" s="46">
        <f>0</f>
        <v>0</v>
      </c>
      <c r="I106" s="46">
        <f>0</f>
        <v>0</v>
      </c>
      <c r="J106" s="2">
        <f t="shared" ref="J106:P106" si="91">(J105-J$40)/J$40</f>
        <v>0</v>
      </c>
      <c r="K106" s="2">
        <f t="shared" si="91"/>
        <v>0</v>
      </c>
      <c r="L106" s="2">
        <f t="shared" si="91"/>
        <v>-9.9009900990099878E-3</v>
      </c>
      <c r="M106" s="2">
        <f t="shared" si="91"/>
        <v>-9.6558554097546691E-3</v>
      </c>
      <c r="N106" s="2">
        <f t="shared" si="91"/>
        <v>-9.4105993065874884E-3</v>
      </c>
      <c r="O106" s="2">
        <f t="shared" si="91"/>
        <v>-9.1652216992815956E-3</v>
      </c>
      <c r="P106" s="2">
        <f t="shared" si="91"/>
        <v>-8.9197224975221638E-3</v>
      </c>
      <c r="Q106" s="2">
        <f t="shared" ref="Q106:Y106" si="92">(Q105-Q$40)/Q$40</f>
        <v>-8.674101610904714E-3</v>
      </c>
      <c r="R106" s="35">
        <f t="shared" ref="R106:X106" si="93">(R105-R$40)/R$40</f>
        <v>-8.4283589489340376E-3</v>
      </c>
      <c r="S106" s="62">
        <f t="shared" si="92"/>
        <v>-8.1824944210266842E-3</v>
      </c>
      <c r="T106" s="2">
        <f t="shared" si="93"/>
        <v>-7.9365079365079326E-3</v>
      </c>
      <c r="U106" s="2">
        <f t="shared" si="92"/>
        <v>-6.3593004769476619E-3</v>
      </c>
      <c r="V106" s="2">
        <f t="shared" si="93"/>
        <v>-4.7770700636941693E-3</v>
      </c>
      <c r="W106" s="2">
        <f t="shared" si="92"/>
        <v>-3.1897926634770445E-3</v>
      </c>
      <c r="X106" s="2">
        <f t="shared" si="93"/>
        <v>-1.5974440894569164E-3</v>
      </c>
      <c r="Y106" s="35">
        <f t="shared" si="92"/>
        <v>0</v>
      </c>
    </row>
    <row r="107" spans="3:25" x14ac:dyDescent="0.25">
      <c r="C107" s="143"/>
      <c r="D107" s="16"/>
      <c r="E107" s="16"/>
      <c r="F107" s="24"/>
      <c r="G107" s="24"/>
      <c r="H107" s="24"/>
      <c r="I107" s="24"/>
      <c r="J107" s="24"/>
      <c r="K107" s="24"/>
      <c r="L107" s="25" t="s">
        <v>40</v>
      </c>
      <c r="M107" s="24"/>
      <c r="N107" s="24"/>
      <c r="O107" s="24"/>
      <c r="P107" s="24"/>
      <c r="Q107" s="24"/>
      <c r="R107" s="47"/>
      <c r="S107" s="57"/>
      <c r="T107" s="37"/>
      <c r="U107" s="37"/>
      <c r="V107" s="37"/>
      <c r="W107" s="58"/>
      <c r="X107" s="58"/>
      <c r="Y107" s="59"/>
    </row>
    <row r="108" spans="3:25" x14ac:dyDescent="0.25">
      <c r="C108" s="143"/>
      <c r="D108" s="144" t="s">
        <v>21</v>
      </c>
      <c r="E108" s="1" t="s">
        <v>1</v>
      </c>
      <c r="F108" s="8">
        <f t="shared" ref="F108:J109" si="94">F41</f>
        <v>128.11983230944233</v>
      </c>
      <c r="G108" s="8">
        <f t="shared" si="94"/>
        <v>131.96342727872562</v>
      </c>
      <c r="H108" s="8">
        <f t="shared" si="94"/>
        <v>135.92233009708738</v>
      </c>
      <c r="I108" s="8">
        <f t="shared" si="94"/>
        <v>140</v>
      </c>
      <c r="J108" s="8">
        <f t="shared" si="94"/>
        <v>144.20000000000002</v>
      </c>
      <c r="K108" s="8">
        <f t="shared" ref="K108:Y108" si="95">K105*$D$41</f>
        <v>148.52600000000001</v>
      </c>
      <c r="L108" s="8">
        <f t="shared" si="95"/>
        <v>151.46710891089108</v>
      </c>
      <c r="M108" s="8">
        <f t="shared" si="95"/>
        <v>156.0497483535529</v>
      </c>
      <c r="N108" s="8">
        <f t="shared" si="95"/>
        <v>160.77104547003466</v>
      </c>
      <c r="O108" s="8">
        <f t="shared" si="95"/>
        <v>165.63519595150859</v>
      </c>
      <c r="P108" s="8">
        <f t="shared" si="95"/>
        <v>170.64652245736556</v>
      </c>
      <c r="Q108" s="8">
        <f t="shared" si="95"/>
        <v>175.80947845776086</v>
      </c>
      <c r="R108" s="43">
        <f t="shared" si="95"/>
        <v>181.12865219245839</v>
      </c>
      <c r="S108" s="61">
        <f t="shared" si="95"/>
        <v>186.60877074949377</v>
      </c>
      <c r="T108" s="8">
        <f t="shared" si="95"/>
        <v>192.25470426728418</v>
      </c>
      <c r="U108" s="8">
        <f t="shared" si="95"/>
        <v>198.33716629418237</v>
      </c>
      <c r="V108" s="8">
        <f t="shared" si="95"/>
        <v>204.61257950161141</v>
      </c>
      <c r="W108" s="8">
        <f t="shared" si="95"/>
        <v>211.08708281470859</v>
      </c>
      <c r="X108" s="8">
        <f t="shared" si="95"/>
        <v>217.76701110633701</v>
      </c>
      <c r="Y108" s="43">
        <f t="shared" si="95"/>
        <v>224.65890147383038</v>
      </c>
    </row>
    <row r="109" spans="3:25" x14ac:dyDescent="0.25">
      <c r="C109" s="143"/>
      <c r="D109" s="145"/>
      <c r="E109" s="1" t="s">
        <v>2</v>
      </c>
      <c r="F109" s="8">
        <f t="shared" si="94"/>
        <v>24.342768138794042</v>
      </c>
      <c r="G109" s="8">
        <f t="shared" si="94"/>
        <v>25.073051182957869</v>
      </c>
      <c r="H109" s="8">
        <f t="shared" si="94"/>
        <v>25.825242718446603</v>
      </c>
      <c r="I109" s="8">
        <f t="shared" si="94"/>
        <v>26.6</v>
      </c>
      <c r="J109" s="8">
        <f t="shared" si="94"/>
        <v>27.398000000000003</v>
      </c>
      <c r="K109" s="8">
        <f t="shared" ref="K109:Y109" si="96">K108*$D$42</f>
        <v>28.219940000000001</v>
      </c>
      <c r="L109" s="8">
        <f t="shared" si="96"/>
        <v>28.778750693069306</v>
      </c>
      <c r="M109" s="8">
        <f t="shared" si="96"/>
        <v>29.649452187175051</v>
      </c>
      <c r="N109" s="8">
        <f t="shared" si="96"/>
        <v>30.546498639306588</v>
      </c>
      <c r="O109" s="8">
        <f t="shared" si="96"/>
        <v>31.470687230786634</v>
      </c>
      <c r="P109" s="8">
        <f t="shared" si="96"/>
        <v>32.422839266899459</v>
      </c>
      <c r="Q109" s="8">
        <f t="shared" si="96"/>
        <v>33.403800906974567</v>
      </c>
      <c r="R109" s="43">
        <f t="shared" si="96"/>
        <v>34.414443916567095</v>
      </c>
      <c r="S109" s="61">
        <f t="shared" si="96"/>
        <v>35.455666442403817</v>
      </c>
      <c r="T109" s="8">
        <f t="shared" si="96"/>
        <v>36.528393810783996</v>
      </c>
      <c r="U109" s="8">
        <f t="shared" si="96"/>
        <v>37.684061595894647</v>
      </c>
      <c r="V109" s="8">
        <f t="shared" si="96"/>
        <v>38.876390105306164</v>
      </c>
      <c r="W109" s="8">
        <f t="shared" si="96"/>
        <v>40.106545734794636</v>
      </c>
      <c r="X109" s="8">
        <f t="shared" si="96"/>
        <v>41.375732110204034</v>
      </c>
      <c r="Y109" s="43">
        <f t="shared" si="96"/>
        <v>42.685191280027773</v>
      </c>
    </row>
    <row r="110" spans="3:25" ht="105" x14ac:dyDescent="0.25">
      <c r="C110" s="143"/>
      <c r="D110" s="22">
        <f>SUM(F110:P110)</f>
        <v>-1.4499708131159323</v>
      </c>
      <c r="E110" s="21" t="s">
        <v>20</v>
      </c>
      <c r="F110" s="10">
        <f t="shared" ref="F110:P110" si="97">F109-F$42</f>
        <v>0</v>
      </c>
      <c r="G110" s="10">
        <f t="shared" si="97"/>
        <v>0</v>
      </c>
      <c r="H110" s="10">
        <f t="shared" si="97"/>
        <v>0</v>
      </c>
      <c r="I110" s="10">
        <f t="shared" si="97"/>
        <v>0</v>
      </c>
      <c r="J110" s="10">
        <f t="shared" si="97"/>
        <v>0</v>
      </c>
      <c r="K110" s="10">
        <f t="shared" si="97"/>
        <v>0</v>
      </c>
      <c r="L110" s="10">
        <f t="shared" si="97"/>
        <v>-0.2877875069306981</v>
      </c>
      <c r="M110" s="10">
        <f t="shared" si="97"/>
        <v>-0.28908215882495014</v>
      </c>
      <c r="N110" s="10">
        <f t="shared" si="97"/>
        <v>-0.2901917370734175</v>
      </c>
      <c r="O110" s="10">
        <f t="shared" si="97"/>
        <v>-0.29110385688477436</v>
      </c>
      <c r="P110" s="10">
        <f t="shared" si="97"/>
        <v>-0.29180555340209224</v>
      </c>
      <c r="Q110" s="10">
        <f t="shared" ref="Q110:Y110" si="98">Q109-Q$42</f>
        <v>-0.2922832579360275</v>
      </c>
      <c r="R110" s="48">
        <f t="shared" ref="R110:X110" si="99">R109-R$42</f>
        <v>-0.29252277329081977</v>
      </c>
      <c r="S110" s="63">
        <f t="shared" si="98"/>
        <v>-0.29250924814984103</v>
      </c>
      <c r="T110" s="10">
        <f t="shared" si="99"/>
        <v>-0.29222715048626924</v>
      </c>
      <c r="U110" s="10">
        <f t="shared" si="98"/>
        <v>-0.24117799421373576</v>
      </c>
      <c r="V110" s="10">
        <f t="shared" si="99"/>
        <v>-0.18660667250546936</v>
      </c>
      <c r="W110" s="10">
        <f t="shared" si="98"/>
        <v>-0.12834094635135074</v>
      </c>
      <c r="X110" s="10">
        <f t="shared" si="99"/>
        <v>-6.620117137632775E-2</v>
      </c>
      <c r="Y110" s="48">
        <f t="shared" si="98"/>
        <v>0</v>
      </c>
    </row>
    <row r="111" spans="3:25" ht="15.75" thickBot="1" x14ac:dyDescent="0.3">
      <c r="C111" s="50"/>
      <c r="D111" s="51"/>
      <c r="E111" s="51"/>
      <c r="F111" s="51"/>
      <c r="G111" s="51"/>
      <c r="H111" s="51"/>
      <c r="I111" s="51"/>
      <c r="J111" s="51"/>
      <c r="K111" s="51"/>
      <c r="L111" s="51"/>
      <c r="M111" s="51"/>
      <c r="N111" s="51"/>
      <c r="O111" s="51"/>
      <c r="P111" s="51"/>
      <c r="Q111" s="51"/>
      <c r="R111" s="52"/>
      <c r="S111" s="64"/>
      <c r="T111" s="65"/>
      <c r="U111" s="65"/>
      <c r="V111" s="65"/>
      <c r="W111" s="66"/>
      <c r="X111" s="66"/>
      <c r="Y111" s="67"/>
    </row>
  </sheetData>
  <mergeCells count="29">
    <mergeCell ref="F5:F7"/>
    <mergeCell ref="P3:T3"/>
    <mergeCell ref="B2:D2"/>
    <mergeCell ref="H3:J3"/>
    <mergeCell ref="K3:O3"/>
    <mergeCell ref="F2:T2"/>
    <mergeCell ref="C80:J80"/>
    <mergeCell ref="C82:C90"/>
    <mergeCell ref="D82:D86"/>
    <mergeCell ref="D88:D89"/>
    <mergeCell ref="F8:F10"/>
    <mergeCell ref="D64:D68"/>
    <mergeCell ref="C71:C76"/>
    <mergeCell ref="D71:D75"/>
    <mergeCell ref="B38:B48"/>
    <mergeCell ref="C38:R38"/>
    <mergeCell ref="B51:B77"/>
    <mergeCell ref="C51:J51"/>
    <mergeCell ref="C52:D55"/>
    <mergeCell ref="C57:C62"/>
    <mergeCell ref="D57:D61"/>
    <mergeCell ref="C64:C69"/>
    <mergeCell ref="C44:D48"/>
    <mergeCell ref="D92:D96"/>
    <mergeCell ref="C92:C100"/>
    <mergeCell ref="D98:D99"/>
    <mergeCell ref="C102:C110"/>
    <mergeCell ref="D102:D106"/>
    <mergeCell ref="D108:D10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1BF71-3B35-45E8-877F-A90566327766}">
  <dimension ref="B2:Q13"/>
  <sheetViews>
    <sheetView topLeftCell="A5" workbookViewId="0">
      <selection activeCell="I7" sqref="I7"/>
    </sheetView>
  </sheetViews>
  <sheetFormatPr baseColWidth="10" defaultRowHeight="15" x14ac:dyDescent="0.25"/>
  <cols>
    <col min="3" max="17" width="12.7109375" bestFit="1" customWidth="1"/>
  </cols>
  <sheetData>
    <row r="2" spans="2:17" x14ac:dyDescent="0.25">
      <c r="B2" s="181" t="s">
        <v>47</v>
      </c>
      <c r="C2" s="181"/>
      <c r="D2" s="181"/>
      <c r="E2" s="181"/>
      <c r="F2" s="181"/>
      <c r="G2" s="181"/>
      <c r="H2" s="181"/>
    </row>
    <row r="3" spans="2:17" x14ac:dyDescent="0.25">
      <c r="B3" s="181"/>
      <c r="C3" s="181"/>
      <c r="D3" s="181"/>
      <c r="E3" s="181"/>
      <c r="F3" s="181"/>
      <c r="G3" s="181"/>
      <c r="H3" s="181"/>
    </row>
    <row r="4" spans="2:17" x14ac:dyDescent="0.25">
      <c r="B4" s="181"/>
      <c r="C4" s="181"/>
      <c r="D4" s="181"/>
      <c r="E4" s="181"/>
      <c r="F4" s="181"/>
      <c r="G4" s="181"/>
      <c r="H4" s="181"/>
    </row>
    <row r="5" spans="2:17" x14ac:dyDescent="0.25">
      <c r="B5" s="181"/>
      <c r="C5" s="181"/>
      <c r="D5" s="181"/>
      <c r="E5" s="181"/>
      <c r="F5" s="181"/>
      <c r="G5" s="181"/>
      <c r="H5" s="181"/>
    </row>
    <row r="6" spans="2:17" x14ac:dyDescent="0.25">
      <c r="B6" s="181"/>
      <c r="C6" s="181"/>
      <c r="D6" s="181"/>
      <c r="E6" s="181"/>
      <c r="F6" s="181"/>
      <c r="G6" s="181"/>
      <c r="H6" s="181"/>
    </row>
    <row r="7" spans="2:17" x14ac:dyDescent="0.25">
      <c r="B7" s="181"/>
      <c r="C7" s="181"/>
      <c r="D7" s="181"/>
      <c r="E7" s="181"/>
      <c r="F7" s="181"/>
      <c r="G7" s="181"/>
      <c r="H7" s="181"/>
    </row>
    <row r="9" spans="2:17" x14ac:dyDescent="0.25">
      <c r="B9" s="82"/>
      <c r="C9" s="184" t="s">
        <v>51</v>
      </c>
      <c r="D9" s="184"/>
      <c r="E9" s="184"/>
      <c r="F9" s="184"/>
      <c r="G9" s="184"/>
      <c r="H9" s="184"/>
      <c r="I9" s="184"/>
      <c r="J9" s="184"/>
      <c r="K9" s="182" t="s">
        <v>50</v>
      </c>
      <c r="L9" s="183"/>
      <c r="M9" s="183"/>
      <c r="N9" s="183"/>
      <c r="O9" s="183"/>
      <c r="P9" s="183"/>
      <c r="Q9" s="183"/>
    </row>
    <row r="10" spans="2:17" x14ac:dyDescent="0.25">
      <c r="B10" s="32" t="s">
        <v>24</v>
      </c>
      <c r="C10" s="137">
        <v>2021</v>
      </c>
      <c r="D10" s="137">
        <v>2022</v>
      </c>
      <c r="E10" s="137">
        <v>2023</v>
      </c>
      <c r="F10" s="137">
        <v>2024</v>
      </c>
      <c r="G10" s="137">
        <v>2025</v>
      </c>
      <c r="H10" s="137">
        <v>2026</v>
      </c>
      <c r="I10" s="137">
        <v>2027</v>
      </c>
      <c r="J10" s="137">
        <v>2028</v>
      </c>
      <c r="K10" s="138">
        <v>2029</v>
      </c>
      <c r="L10" s="138">
        <v>2030</v>
      </c>
      <c r="M10" s="138">
        <v>2031</v>
      </c>
      <c r="N10" s="138">
        <v>2032</v>
      </c>
      <c r="O10" s="138">
        <v>2033</v>
      </c>
      <c r="P10" s="138">
        <v>2034</v>
      </c>
      <c r="Q10" s="138">
        <v>2035</v>
      </c>
    </row>
    <row r="11" spans="2:17" x14ac:dyDescent="0.25">
      <c r="B11" s="32" t="s">
        <v>35</v>
      </c>
      <c r="C11" s="129">
        <f>'Impact secteur bancaire BPF'!K86</f>
        <v>0</v>
      </c>
      <c r="D11" s="129">
        <f>'Impact secteur bancaire BPF'!L86</f>
        <v>-9.9009900990099878E-3</v>
      </c>
      <c r="E11" s="129">
        <f>'Impact secteur bancaire BPF'!M86</f>
        <v>-7.9365079365079066E-3</v>
      </c>
      <c r="F11" s="129">
        <f>'Impact secteur bancaire BPF'!N86</f>
        <v>-5.9642147117295466E-3</v>
      </c>
      <c r="G11" s="129">
        <f>'Impact secteur bancaire BPF'!O86</f>
        <v>-3.9840637450198188E-3</v>
      </c>
      <c r="H11" s="129">
        <f>'Impact secteur bancaire BPF'!P86</f>
        <v>-1.9960079840319858E-3</v>
      </c>
      <c r="I11" s="129">
        <f>'Impact secteur bancaire BPF'!Q86</f>
        <v>0</v>
      </c>
      <c r="J11" s="129">
        <f>'Impact secteur bancaire BPF'!R86</f>
        <v>0</v>
      </c>
      <c r="K11" s="130">
        <f>'Impact secteur bancaire BPF'!S86</f>
        <v>0</v>
      </c>
      <c r="L11" s="130">
        <f>'Impact secteur bancaire BPF'!T86</f>
        <v>0</v>
      </c>
      <c r="M11" s="130">
        <f>'Impact secteur bancaire BPF'!U86</f>
        <v>0</v>
      </c>
      <c r="N11" s="130">
        <f>'Impact secteur bancaire BPF'!V86</f>
        <v>0</v>
      </c>
      <c r="O11" s="130">
        <f>'Impact secteur bancaire BPF'!W86</f>
        <v>0</v>
      </c>
      <c r="P11" s="130">
        <f>'Impact secteur bancaire BPF'!X86</f>
        <v>0</v>
      </c>
      <c r="Q11" s="130">
        <f>'Impact secteur bancaire BPF'!Y86</f>
        <v>0</v>
      </c>
    </row>
    <row r="12" spans="2:17" x14ac:dyDescent="0.25">
      <c r="B12" s="32" t="s">
        <v>48</v>
      </c>
      <c r="C12" s="129">
        <f>'Impact secteur bancaire BPF'!K96</f>
        <v>0</v>
      </c>
      <c r="D12" s="129">
        <f>'Impact secteur bancaire BPF'!L96</f>
        <v>-9.9009900990099878E-3</v>
      </c>
      <c r="E12" s="129">
        <f>'Impact secteur bancaire BPF'!M96</f>
        <v>-9.0424873033568571E-3</v>
      </c>
      <c r="F12" s="129">
        <f>'Impact secteur bancaire BPF'!N96</f>
        <v>-8.1824944210265767E-3</v>
      </c>
      <c r="G12" s="129">
        <f>'Impact secteur bancaire BPF'!O96</f>
        <v>-7.3210075691771117E-3</v>
      </c>
      <c r="H12" s="129">
        <f>'Impact secteur bancaire BPF'!P96</f>
        <v>-6.4580228514653677E-3</v>
      </c>
      <c r="I12" s="129">
        <f>'Impact secteur bancaire BPF'!Q96</f>
        <v>-5.5935363579863598E-3</v>
      </c>
      <c r="J12" s="129">
        <f>'Impact secteur bancaire BPF'!R96</f>
        <v>-4.727544165215254E-3</v>
      </c>
      <c r="K12" s="130">
        <f>'Impact secteur bancaire BPF'!S96</f>
        <v>-3.8600423359482355E-3</v>
      </c>
      <c r="L12" s="130">
        <f>'Impact secteur bancaire BPF'!T96</f>
        <v>-2.9910269192420938E-3</v>
      </c>
      <c r="M12" s="130">
        <f>'Impact secteur bancaire BPF'!U96</f>
        <v>-2.3942537909018026E-3</v>
      </c>
      <c r="N12" s="130">
        <f>'Impact secteur bancaire BPF'!V96</f>
        <v>-1.796765821521294E-3</v>
      </c>
      <c r="O12" s="130">
        <f>'Impact secteur bancaire BPF'!W96</f>
        <v>-1.198561725928964E-3</v>
      </c>
      <c r="P12" s="130">
        <f>'Impact secteur bancaire BPF'!X96</f>
        <v>-5.9964021587040372E-4</v>
      </c>
      <c r="Q12" s="130">
        <f>'Impact secteur bancaire BPF'!Y96</f>
        <v>0</v>
      </c>
    </row>
    <row r="13" spans="2:17" x14ac:dyDescent="0.25">
      <c r="B13" s="32" t="s">
        <v>49</v>
      </c>
      <c r="C13" s="129">
        <f>'Impact secteur bancaire BPF'!K106</f>
        <v>0</v>
      </c>
      <c r="D13" s="129">
        <f>'Impact secteur bancaire BPF'!L106</f>
        <v>-9.9009900990099878E-3</v>
      </c>
      <c r="E13" s="129">
        <f>'Impact secteur bancaire BPF'!M106</f>
        <v>-9.6558554097546691E-3</v>
      </c>
      <c r="F13" s="129">
        <f>'Impact secteur bancaire BPF'!N106</f>
        <v>-9.4105993065874884E-3</v>
      </c>
      <c r="G13" s="129">
        <f>'Impact secteur bancaire BPF'!O106</f>
        <v>-9.1652216992815956E-3</v>
      </c>
      <c r="H13" s="129">
        <f>'Impact secteur bancaire BPF'!P106</f>
        <v>-8.9197224975221638E-3</v>
      </c>
      <c r="I13" s="129">
        <f>'Impact secteur bancaire BPF'!Q106</f>
        <v>-8.674101610904714E-3</v>
      </c>
      <c r="J13" s="129">
        <f>'Impact secteur bancaire BPF'!R106</f>
        <v>-8.4283589489340376E-3</v>
      </c>
      <c r="K13" s="130">
        <f>'Impact secteur bancaire BPF'!S106</f>
        <v>-8.1824944210266842E-3</v>
      </c>
      <c r="L13" s="130">
        <f>'Impact secteur bancaire BPF'!T106</f>
        <v>-7.9365079365079326E-3</v>
      </c>
      <c r="M13" s="130">
        <f>'Impact secteur bancaire BPF'!U106</f>
        <v>-6.3593004769476619E-3</v>
      </c>
      <c r="N13" s="130">
        <f>'Impact secteur bancaire BPF'!V106</f>
        <v>-4.7770700636941693E-3</v>
      </c>
      <c r="O13" s="130">
        <f>'Impact secteur bancaire BPF'!W106</f>
        <v>-3.1897926634770445E-3</v>
      </c>
      <c r="P13" s="130">
        <f>'Impact secteur bancaire BPF'!X106</f>
        <v>-1.5974440894569164E-3</v>
      </c>
      <c r="Q13" s="130">
        <f>'Impact secteur bancaire BPF'!Y106</f>
        <v>0</v>
      </c>
    </row>
  </sheetData>
  <mergeCells count="3">
    <mergeCell ref="B2:H7"/>
    <mergeCell ref="K9:Q9"/>
    <mergeCell ref="C9:J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E8BDB-898E-4E14-BCEE-1769782B6C1A}">
  <dimension ref="B3:D8"/>
  <sheetViews>
    <sheetView workbookViewId="0">
      <selection activeCell="D8" sqref="D8"/>
    </sheetView>
  </sheetViews>
  <sheetFormatPr baseColWidth="10" defaultRowHeight="15" x14ac:dyDescent="0.25"/>
  <cols>
    <col min="3" max="3" width="29.85546875" customWidth="1"/>
    <col min="4" max="4" width="40.42578125" customWidth="1"/>
  </cols>
  <sheetData>
    <row r="3" spans="2:4" x14ac:dyDescent="0.25">
      <c r="B3" t="s">
        <v>58</v>
      </c>
      <c r="C3" t="s">
        <v>60</v>
      </c>
      <c r="D3" t="s">
        <v>59</v>
      </c>
    </row>
    <row r="4" spans="2:4" x14ac:dyDescent="0.25">
      <c r="B4" t="s">
        <v>35</v>
      </c>
      <c r="C4" s="101">
        <f>'Impact secteur bancaire BPF'!D7/8</f>
        <v>2.5000000000000001E-2</v>
      </c>
      <c r="D4" s="100">
        <f>(1-'Impact secteur bancaire BPF'!D7)/('Impact secteur bancaire BPF'!C7-2030)</f>
        <v>-0.26666666666666666</v>
      </c>
    </row>
    <row r="5" spans="2:4" x14ac:dyDescent="0.25">
      <c r="B5" t="s">
        <v>61</v>
      </c>
      <c r="C5" s="101">
        <f>'Impact secteur bancaire BPF'!D8/8</f>
        <v>8.7499999999999994E-2</v>
      </c>
      <c r="D5" s="100">
        <f>(1-'Impact secteur bancaire BPF'!D8)/('Impact secteur bancaire BPF'!C8-2030)</f>
        <v>6.0000000000000012E-2</v>
      </c>
    </row>
    <row r="6" spans="2:4" x14ac:dyDescent="0.25">
      <c r="B6" t="s">
        <v>37</v>
      </c>
      <c r="C6" s="101">
        <f>'Impact secteur bancaire BPF'!D9/8</f>
        <v>2.5000000000000001E-2</v>
      </c>
      <c r="D6" s="100">
        <f>(1-'Impact secteur bancaire BPF'!D9)/('Impact secteur bancaire BPF'!C9-2030)</f>
        <v>0.16</v>
      </c>
    </row>
    <row r="7" spans="2:4" x14ac:dyDescent="0.25">
      <c r="B7" t="s">
        <v>37</v>
      </c>
      <c r="C7" s="101">
        <f>'Impact secteur bancaire BPF'!D10/8</f>
        <v>2.5000000000000001E-2</v>
      </c>
      <c r="D7" s="100">
        <f>(1-'Impact secteur bancaire BPF'!D10)/('Impact secteur bancaire BPF'!C10-2030)</f>
        <v>0.08</v>
      </c>
    </row>
    <row r="8" spans="2:4" x14ac:dyDescent="0.25">
      <c r="B8" t="s">
        <v>37</v>
      </c>
      <c r="C8" s="101">
        <f>'Impact secteur bancaire BPF'!D11/8</f>
        <v>1.2500000000000001E-2</v>
      </c>
      <c r="D8" s="100">
        <f>(1-'Impact secteur bancaire BPF'!D11)/('Impact secteur bancaire BPF'!C11-2030)</f>
        <v>3.0000000000000002E-2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3565D2027CB5C43B896265DB26BF053" ma:contentTypeVersion="15" ma:contentTypeDescription="Crée un document." ma:contentTypeScope="" ma:versionID="df6b7b0b04c05a1cd557d980648ebe59">
  <xsd:schema xmlns:xsd="http://www.w3.org/2001/XMLSchema" xmlns:xs="http://www.w3.org/2001/XMLSchema" xmlns:p="http://schemas.microsoft.com/office/2006/metadata/properties" xmlns:ns1="http://schemas.microsoft.com/sharepoint/v3" xmlns:ns2="6d25fa36-6e92-4a8c-bcd7-8d2e2e5dc1cc" xmlns:ns3="2a193445-8f29-4d28-b3a3-ce6182a987ad" targetNamespace="http://schemas.microsoft.com/office/2006/metadata/properties" ma:root="true" ma:fieldsID="c33d7f6f1bb9144500a5bc6e265ecd3b" ns1:_="" ns2:_="" ns3:_="">
    <xsd:import namespace="http://schemas.microsoft.com/sharepoint/v3"/>
    <xsd:import namespace="6d25fa36-6e92-4a8c-bcd7-8d2e2e5dc1cc"/>
    <xsd:import namespace="2a193445-8f29-4d28-b3a3-ce6182a987a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riétés de la stratégie de conformité unifiée" ma:hidden="true" ma:internalName="_ip_UnifiedCompliancePolicyProperties">
      <xsd:simpleType>
        <xsd:restriction base="dms:Note"/>
      </xsd:simpleType>
    </xsd:element>
    <xsd:element name="_ip_UnifiedCompliancePolicyUIAction" ma:index="22"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25fa36-6e92-4a8c-bcd7-8d2e2e5dc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a193445-8f29-4d28-b3a3-ce6182a987ad"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2a193445-8f29-4d28-b3a3-ce6182a987ad">
      <UserInfo>
        <DisplayName/>
        <AccountId xsi:nil="true"/>
        <AccountType/>
      </UserInfo>
    </SharedWithUsers>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8BA7EA9-43DC-41BA-B214-0AC00E6244AB}">
  <ds:schemaRefs>
    <ds:schemaRef ds:uri="http://schemas.microsoft.com/sharepoint/v3/contenttype/forms"/>
  </ds:schemaRefs>
</ds:datastoreItem>
</file>

<file path=customXml/itemProps2.xml><?xml version="1.0" encoding="utf-8"?>
<ds:datastoreItem xmlns:ds="http://schemas.openxmlformats.org/officeDocument/2006/customXml" ds:itemID="{950DCBA6-E105-4E7E-A435-6A157A7C2D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25fa36-6e92-4a8c-bcd7-8d2e2e5dc1cc"/>
    <ds:schemaRef ds:uri="2a193445-8f29-4d28-b3a3-ce6182a98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997069-A3EE-4D4C-AEC5-DC0219C39461}">
  <ds:schemaRefs>
    <ds:schemaRef ds:uri="http://schemas.microsoft.com/office/2006/metadata/properties"/>
    <ds:schemaRef ds:uri="http://schemas.microsoft.com/office/infopath/2007/PartnerControls"/>
    <ds:schemaRef ds:uri="2a193445-8f29-4d28-b3a3-ce6182a987ad"/>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Impact secteur bancaire BPF</vt:lpstr>
      <vt:lpstr>Effet sur le crédit</vt:lpstr>
      <vt:lpstr>Calcul du rythme de sortie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CHAMBERLIN</dc:creator>
  <cp:lastModifiedBy>Benjamin CHAMBERLIN</cp:lastModifiedBy>
  <dcterms:created xsi:type="dcterms:W3CDTF">2015-06-05T18:19:34Z</dcterms:created>
  <dcterms:modified xsi:type="dcterms:W3CDTF">2021-07-08T13:40:33Z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0x01010043565D2027CB5C43B896265DB26BF053</vt:lpwstr>
  </property>
  <property fmtid="{D5CDD505-2E9C-101B-9397-08002B2CF9AE}" pid="3" name="ComplianceAssetId">
    <vt:lpwstr/>
  </property>
  <property fmtid="{D5CDD505-2E9C-101B-9397-08002B2CF9AE}" pid="4" name="_ExtendedDescription">
    <vt:lpwstr/>
  </property>
</Properties>
</file>